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drawings/drawing16.xml" ContentType="application/vnd.openxmlformats-officedocument.drawing+xml"/>
  <Override PartName="/xl/charts/chart34.xml" ContentType="application/vnd.openxmlformats-officedocument.drawingml.chart+xml"/>
  <Override PartName="/xl/drawings/drawing17.xml" ContentType="application/vnd.openxmlformats-officedocument.drawing+xml"/>
  <Override PartName="/xl/charts/chart35.xml" ContentType="application/vnd.openxmlformats-officedocument.drawingml.chart+xml"/>
  <Override PartName="/xl/drawings/drawing18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9.xml" ContentType="application/vnd.openxmlformats-officedocument.drawing+xml"/>
  <Override PartName="/xl/charts/chart4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5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0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charts/chart46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7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8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1.xml" ContentType="application/vnd.openxmlformats-officedocument.drawing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22.xml" ContentType="application/vnd.openxmlformats-officedocument.drawing+xml"/>
  <Override PartName="/xl/charts/chart49.xml" ContentType="application/vnd.openxmlformats-officedocument.drawingml.chart+xml"/>
  <Override PartName="/xl/drawings/drawing23.xml" ContentType="application/vnd.openxmlformats-officedocument.drawing+xml"/>
  <Override PartName="/xl/charts/chart50.xml" ContentType="application/vnd.openxmlformats-officedocument.drawingml.chart+xml"/>
  <Override PartName="/xl/drawings/drawing24.xml" ContentType="application/vnd.openxmlformats-officedocument.drawing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charts/chart5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8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26.xml" ContentType="application/vnd.openxmlformats-officedocument.drawing+xml"/>
  <Override PartName="/xl/charts/chart60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27.xml" ContentType="application/vnd.openxmlformats-officedocument.drawing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harts/chart62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3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4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8.xml" ContentType="application/vnd.openxmlformats-officedocument.drawing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drawings/drawing29.xml" ContentType="application/vnd.openxmlformats-officedocument.drawing+xml"/>
  <Override PartName="/xl/charts/chart65.xml" ContentType="application/vnd.openxmlformats-officedocument.drawingml.chart+xml"/>
  <Override PartName="/xl/drawings/drawing30.xml" ContentType="application/vnd.openxmlformats-officedocument.drawing+xml"/>
  <Override PartName="/xl/charts/chart66.xml" ContentType="application/vnd.openxmlformats-officedocument.drawingml.chart+xml"/>
  <Override PartName="/xl/drawings/drawing31.xml" ContentType="application/vnd.openxmlformats-officedocument.drawing+xml"/>
  <Override PartName="/xl/charts/chart67.xml" ContentType="application/vnd.openxmlformats-officedocument.drawingml.chart+xml"/>
  <Override PartName="/xl/drawings/drawing32.xml" ContentType="application/vnd.openxmlformats-officedocument.drawing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charts/chart68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9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70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71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72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73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4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5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3.xml" ContentType="application/vnd.openxmlformats-officedocument.drawing+xml"/>
  <Override PartName="/xl/charts/chart76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7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34.xml" ContentType="application/vnd.openxmlformats-officedocument.drawing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charts/chart78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9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80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35.xml" ContentType="application/vnd.openxmlformats-officedocument.drawing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drawings/drawing36.xml" ContentType="application/vnd.openxmlformats-officedocument.drawing+xml"/>
  <Override PartName="/xl/charts/chart81.xml" ContentType="application/vnd.openxmlformats-officedocument.drawingml.chart+xml"/>
  <Override PartName="/xl/drawings/drawing37.xml" ContentType="application/vnd.openxmlformats-officedocument.drawing+xml"/>
  <Override PartName="/xl/charts/chart82.xml" ContentType="application/vnd.openxmlformats-officedocument.drawingml.chart+xml"/>
  <Override PartName="/xl/drawings/drawing38.xml" ContentType="application/vnd.openxmlformats-officedocument.drawing+xml"/>
  <Override PartName="/xl/charts/chart83.xml" ContentType="application/vnd.openxmlformats-officedocument.drawingml.chart+xml"/>
  <Override PartName="/xl/drawings/drawing39.xml" ContentType="application/vnd.openxmlformats-officedocument.drawing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charts/chart84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85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6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7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8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9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90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91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40.xml" ContentType="application/vnd.openxmlformats-officedocument.drawing+xml"/>
  <Override PartName="/xl/charts/chart92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93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41.xml" ContentType="application/vnd.openxmlformats-officedocument.drawing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charts/chart94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5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96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42.xml" ContentType="application/vnd.openxmlformats-officedocument.drawing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drawings/drawing43.xml" ContentType="application/vnd.openxmlformats-officedocument.drawing+xml"/>
  <Override PartName="/xl/charts/chart97.xml" ContentType="application/vnd.openxmlformats-officedocument.drawingml.chart+xml"/>
  <Override PartName="/xl/drawings/drawing44.xml" ContentType="application/vnd.openxmlformats-officedocument.drawing+xml"/>
  <Override PartName="/xl/charts/chart98.xml" ContentType="application/vnd.openxmlformats-officedocument.drawingml.chart+xml"/>
  <Override PartName="/xl/drawings/drawing45.xml" ContentType="application/vnd.openxmlformats-officedocument.drawing+xml"/>
  <Override PartName="/xl/charts/chart99.xml" ContentType="application/vnd.openxmlformats-officedocument.drawingml.chart+xml"/>
  <Override PartName="/xl/drawings/drawing46.xml" ContentType="application/vnd.openxmlformats-officedocument.drawing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charts/chart100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101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102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103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104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105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106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107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47.xml" ContentType="application/vnd.openxmlformats-officedocument.drawing+xml"/>
  <Override PartName="/xl/charts/chart108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109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48.xml" ContentType="application/vnd.openxmlformats-officedocument.drawing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charts/chart110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111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12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49.xml" ContentType="application/vnd.openxmlformats-officedocument.drawing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drawings/drawing50.xml" ContentType="application/vnd.openxmlformats-officedocument.drawing+xml"/>
  <Override PartName="/xl/charts/chart113.xml" ContentType="application/vnd.openxmlformats-officedocument.drawingml.chart+xml"/>
  <Override PartName="/xl/drawings/drawing51.xml" ContentType="application/vnd.openxmlformats-officedocument.drawing+xml"/>
  <Override PartName="/xl/charts/chart114.xml" ContentType="application/vnd.openxmlformats-officedocument.drawingml.chart+xml"/>
  <Override PartName="/xl/drawings/drawing52.xml" ContentType="application/vnd.openxmlformats-officedocument.drawing+xml"/>
  <Override PartName="/xl/charts/chart115.xml" ContentType="application/vnd.openxmlformats-officedocument.drawingml.chart+xml"/>
  <Override PartName="/xl/drawings/drawing53.xml" ContentType="application/vnd.openxmlformats-officedocument.drawing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charts/chart116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117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118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119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120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121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122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123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drawings/drawing54.xml" ContentType="application/vnd.openxmlformats-officedocument.drawing+xml"/>
  <Override PartName="/xl/charts/chart124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25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55.xml" ContentType="application/vnd.openxmlformats-officedocument.drawing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charts/chart126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27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28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56.xml" ContentType="application/vnd.openxmlformats-officedocument.drawing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drawings/drawing57.xml" ContentType="application/vnd.openxmlformats-officedocument.drawing+xml"/>
  <Override PartName="/xl/charts/chart129.xml" ContentType="application/vnd.openxmlformats-officedocument.drawingml.chart+xml"/>
  <Override PartName="/xl/drawings/drawing58.xml" ContentType="application/vnd.openxmlformats-officedocument.drawing+xml"/>
  <Override PartName="/xl/charts/chart130.xml" ContentType="application/vnd.openxmlformats-officedocument.drawingml.chart+xml"/>
  <Override PartName="/xl/drawings/drawing59.xml" ContentType="application/vnd.openxmlformats-officedocument.drawing+xml"/>
  <Override PartName="/xl/charts/chart131.xml" ContentType="application/vnd.openxmlformats-officedocument.drawingml.chart+xml"/>
  <Override PartName="/xl/drawings/drawing60.xml" ContentType="application/vnd.openxmlformats-officedocument.drawing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charts/chart132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33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34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35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36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37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38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39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61.xml" ContentType="application/vnd.openxmlformats-officedocument.drawing+xml"/>
  <Override PartName="/xl/charts/chart140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41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62.xml" ContentType="application/vnd.openxmlformats-officedocument.drawing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charts/chart142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43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44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63.xml" ContentType="application/vnd.openxmlformats-officedocument.drawing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drawings/drawing64.xml" ContentType="application/vnd.openxmlformats-officedocument.drawing+xml"/>
  <Override PartName="/xl/charts/chart145.xml" ContentType="application/vnd.openxmlformats-officedocument.drawingml.chart+xml"/>
  <Override PartName="/xl/drawings/drawing65.xml" ContentType="application/vnd.openxmlformats-officedocument.drawing+xml"/>
  <Override PartName="/xl/charts/chart146.xml" ContentType="application/vnd.openxmlformats-officedocument.drawingml.chart+xml"/>
  <Override PartName="/xl/drawings/drawing66.xml" ContentType="application/vnd.openxmlformats-officedocument.drawing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charts/chart147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48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49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50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51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52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53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54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67.xml" ContentType="application/vnd.openxmlformats-officedocument.drawing+xml"/>
  <Override PartName="/xl/charts/chart155.xml" ContentType="application/vnd.openxmlformats-officedocument.drawingml.chart+xml"/>
  <Override PartName="/xl/drawings/drawing68.xml" ContentType="application/vnd.openxmlformats-officedocument.drawing+xml"/>
  <Override PartName="/xl/charts/chart15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5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69.xml" ContentType="application/vnd.openxmlformats-officedocument.drawing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charts/chart15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5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6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70.xml" ContentType="application/vnd.openxmlformats-officedocument.drawing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bastián\Bases de Datos Erika y Sebastian\"/>
    </mc:Choice>
  </mc:AlternateContent>
  <bookViews>
    <workbookView xWindow="0" yWindow="0" windowWidth="19200" windowHeight="11535" tabRatio="856" activeTab="5"/>
  </bookViews>
  <sheets>
    <sheet name="Comercio" sheetId="10" r:id="rId1"/>
    <sheet name="comtrade" sheetId="81" r:id="rId2"/>
    <sheet name="Export 00" sheetId="11" r:id="rId3"/>
    <sheet name="Import 00" sheetId="12" r:id="rId4"/>
    <sheet name="Balanza c 00" sheetId="13" r:id="rId5"/>
    <sheet name="Apertura 00" sheetId="82" r:id="rId6"/>
    <sheet name=" Per Cápita 00" sheetId="83" r:id="rId7"/>
    <sheet name="Participación Mundial 00" sheetId="84" r:id="rId8"/>
    <sheet name="Dinamismo Comercial 00" sheetId="85" r:id="rId9"/>
    <sheet name="Export 01" sheetId="86" r:id="rId10"/>
    <sheet name="Import 01" sheetId="87" r:id="rId11"/>
    <sheet name="Balanza c 01" sheetId="88" r:id="rId12"/>
    <sheet name="Apertura 01" sheetId="89" r:id="rId13"/>
    <sheet name=" Per Cápita 01" sheetId="90" r:id="rId14"/>
    <sheet name="Participación Mundial 01" sheetId="91" r:id="rId15"/>
    <sheet name="Dinamismo Comercial 01" sheetId="92" r:id="rId16"/>
    <sheet name="Export 02" sheetId="93" r:id="rId17"/>
    <sheet name="Import 02" sheetId="94" r:id="rId18"/>
    <sheet name="Balanza c 02" sheetId="95" r:id="rId19"/>
    <sheet name="Apertura 02" sheetId="96" r:id="rId20"/>
    <sheet name=" Per Cápita 02" sheetId="97" r:id="rId21"/>
    <sheet name="Participación Mundial 02" sheetId="98" r:id="rId22"/>
    <sheet name="Dinamismo Comercial 02" sheetId="99" r:id="rId23"/>
    <sheet name="Export 03" sheetId="100" r:id="rId24"/>
    <sheet name="Import 03" sheetId="103" r:id="rId25"/>
    <sheet name="Balanza c 03" sheetId="104" r:id="rId26"/>
    <sheet name="Apertura 03" sheetId="105" r:id="rId27"/>
    <sheet name=" Per Cápita 03" sheetId="106" r:id="rId28"/>
    <sheet name="Participación Mundial 03" sheetId="102" r:id="rId29"/>
    <sheet name="Dinamismo Comercial 03" sheetId="101" r:id="rId30"/>
    <sheet name="Export 04" sheetId="107" r:id="rId31"/>
    <sheet name="Import 04" sheetId="108" r:id="rId32"/>
    <sheet name="Balanza c 04" sheetId="109" r:id="rId33"/>
    <sheet name="Apertura 04" sheetId="110" r:id="rId34"/>
    <sheet name=" Per Cápita 04" sheetId="111" r:id="rId35"/>
    <sheet name="Participación Mundial 04" sheetId="112" r:id="rId36"/>
    <sheet name="Dinamismo Comercial 04" sheetId="113" r:id="rId37"/>
    <sheet name="Export 05" sheetId="114" r:id="rId38"/>
    <sheet name="Import 05" sheetId="115" r:id="rId39"/>
    <sheet name="Balanza c 05" sheetId="116" r:id="rId40"/>
    <sheet name="Apertura 05" sheetId="117" r:id="rId41"/>
    <sheet name=" Per Cápita 05" sheetId="118" r:id="rId42"/>
    <sheet name="Participación Mundial 05" sheetId="119" r:id="rId43"/>
    <sheet name="Dinamismo Comercial 05" sheetId="120" r:id="rId44"/>
    <sheet name="Export 06" sheetId="121" r:id="rId45"/>
    <sheet name="Import 06" sheetId="122" r:id="rId46"/>
    <sheet name="Balanza c 06" sheetId="123" r:id="rId47"/>
    <sheet name="Apertura 06" sheetId="124" r:id="rId48"/>
    <sheet name=" Per Cápita 06" sheetId="125" r:id="rId49"/>
    <sheet name="Participación Mundial 06" sheetId="126" r:id="rId50"/>
    <sheet name="Dinamismo Comercial 06" sheetId="127" r:id="rId51"/>
    <sheet name="Export 07" sheetId="128" r:id="rId52"/>
    <sheet name="Import 07" sheetId="129" r:id="rId53"/>
    <sheet name="Balanza c 07" sheetId="130" r:id="rId54"/>
    <sheet name="Apertura 07" sheetId="131" r:id="rId55"/>
    <sheet name=" Per Cápita 07" sheetId="132" r:id="rId56"/>
    <sheet name="Participación Mundial 07" sheetId="133" r:id="rId57"/>
    <sheet name="Dinamismo Comercial 07" sheetId="134" r:id="rId58"/>
    <sheet name="Export 08" sheetId="135" r:id="rId59"/>
    <sheet name="Import 08" sheetId="136" r:id="rId60"/>
    <sheet name="Balanza c 08" sheetId="137" r:id="rId61"/>
    <sheet name="Apertura 08" sheetId="138" r:id="rId62"/>
    <sheet name=" Per Cápita 08" sheetId="139" r:id="rId63"/>
    <sheet name="Participación Mundial 08" sheetId="140" r:id="rId64"/>
    <sheet name="Dinamismo Comercial 08" sheetId="141" r:id="rId65"/>
    <sheet name="Export 09" sheetId="142" r:id="rId66"/>
    <sheet name="Import 09" sheetId="143" r:id="rId67"/>
    <sheet name="Apertura 09" sheetId="145" r:id="rId68"/>
    <sheet name="Balanza c 09" sheetId="144" r:id="rId69"/>
    <sheet name=" Per Cápita 09" sheetId="146" r:id="rId70"/>
    <sheet name="Participación Mundial 09" sheetId="147" r:id="rId71"/>
    <sheet name="Dinamismo Comercial 09" sheetId="148" r:id="rId72"/>
  </sheets>
  <externalReferences>
    <externalReference r:id="rId73"/>
    <externalReference r:id="rId74"/>
    <externalReference r:id="rId75"/>
  </externalReferences>
  <calcPr calcId="152511" concurrentCalc="0"/>
</workbook>
</file>

<file path=xl/calcChain.xml><?xml version="1.0" encoding="utf-8"?>
<calcChain xmlns="http://schemas.openxmlformats.org/spreadsheetml/2006/main">
  <c r="F35" i="85" l="1"/>
  <c r="F36" i="85"/>
  <c r="F37" i="85"/>
  <c r="F38" i="85"/>
  <c r="F39" i="85"/>
  <c r="F40" i="85"/>
  <c r="F41" i="85"/>
  <c r="F42" i="85"/>
  <c r="F43" i="85"/>
  <c r="F44" i="85"/>
  <c r="F45" i="85"/>
  <c r="F46" i="85"/>
  <c r="F47" i="85"/>
  <c r="F48" i="85"/>
  <c r="F49" i="85"/>
  <c r="F50" i="85"/>
  <c r="F51" i="85"/>
  <c r="F52" i="85"/>
  <c r="F53" i="85"/>
  <c r="F54" i="85"/>
  <c r="F55" i="85"/>
  <c r="F56" i="85"/>
  <c r="F57" i="85"/>
  <c r="F58" i="85"/>
  <c r="F34" i="85"/>
  <c r="F35" i="92"/>
  <c r="F36" i="92"/>
  <c r="F37" i="92"/>
  <c r="F38" i="92"/>
  <c r="F39" i="92"/>
  <c r="F40" i="92"/>
  <c r="F41" i="92"/>
  <c r="F42" i="92"/>
  <c r="F43" i="92"/>
  <c r="F44" i="92"/>
  <c r="F45" i="92"/>
  <c r="F46" i="92"/>
  <c r="F47" i="92"/>
  <c r="F48" i="92"/>
  <c r="F49" i="92"/>
  <c r="F50" i="92"/>
  <c r="F51" i="92"/>
  <c r="F52" i="92"/>
  <c r="F53" i="92"/>
  <c r="F54" i="92"/>
  <c r="F55" i="92"/>
  <c r="F56" i="92"/>
  <c r="F57" i="92"/>
  <c r="F58" i="92"/>
  <c r="F34" i="92"/>
  <c r="F35" i="99"/>
  <c r="F36" i="99"/>
  <c r="F37" i="99"/>
  <c r="F38" i="99"/>
  <c r="F39" i="99"/>
  <c r="F40" i="99"/>
  <c r="F41" i="99"/>
  <c r="F42" i="99"/>
  <c r="F43" i="99"/>
  <c r="F44" i="99"/>
  <c r="F45" i="99"/>
  <c r="F46" i="99"/>
  <c r="F47" i="99"/>
  <c r="F48" i="99"/>
  <c r="F49" i="99"/>
  <c r="F50" i="99"/>
  <c r="F51" i="99"/>
  <c r="F52" i="99"/>
  <c r="F53" i="99"/>
  <c r="F54" i="99"/>
  <c r="F55" i="99"/>
  <c r="F56" i="99"/>
  <c r="F57" i="99"/>
  <c r="F58" i="99"/>
  <c r="F34" i="99"/>
  <c r="F35" i="101"/>
  <c r="F36" i="101"/>
  <c r="F37" i="101"/>
  <c r="F38" i="101"/>
  <c r="F39" i="101"/>
  <c r="F40" i="101"/>
  <c r="F41" i="101"/>
  <c r="F42" i="101"/>
  <c r="F43" i="101"/>
  <c r="F44" i="101"/>
  <c r="F45" i="101"/>
  <c r="F46" i="101"/>
  <c r="F47" i="101"/>
  <c r="F48" i="101"/>
  <c r="F49" i="101"/>
  <c r="F50" i="101"/>
  <c r="F51" i="101"/>
  <c r="F52" i="101"/>
  <c r="F53" i="101"/>
  <c r="F54" i="101"/>
  <c r="F55" i="101"/>
  <c r="F56" i="101"/>
  <c r="F57" i="101"/>
  <c r="F58" i="101"/>
  <c r="F34" i="101"/>
  <c r="F35" i="113"/>
  <c r="F36" i="113"/>
  <c r="F37" i="113"/>
  <c r="F38" i="113"/>
  <c r="F39" i="113"/>
  <c r="F40" i="113"/>
  <c r="F41" i="113"/>
  <c r="F42" i="113"/>
  <c r="F43" i="113"/>
  <c r="F44" i="113"/>
  <c r="F45" i="113"/>
  <c r="F46" i="113"/>
  <c r="F47" i="113"/>
  <c r="F48" i="113"/>
  <c r="F49" i="113"/>
  <c r="F50" i="113"/>
  <c r="F51" i="113"/>
  <c r="F52" i="113"/>
  <c r="F53" i="113"/>
  <c r="F54" i="113"/>
  <c r="F55" i="113"/>
  <c r="F56" i="113"/>
  <c r="F57" i="113"/>
  <c r="F58" i="113"/>
  <c r="F34" i="113"/>
  <c r="F35" i="120"/>
  <c r="F36" i="120"/>
  <c r="F37" i="120"/>
  <c r="F38" i="120"/>
  <c r="F39" i="120"/>
  <c r="F40" i="120"/>
  <c r="F41" i="120"/>
  <c r="F42" i="120"/>
  <c r="F43" i="120"/>
  <c r="F44" i="120"/>
  <c r="F45" i="120"/>
  <c r="F46" i="120"/>
  <c r="F47" i="120"/>
  <c r="F48" i="120"/>
  <c r="F49" i="120"/>
  <c r="F50" i="120"/>
  <c r="F51" i="120"/>
  <c r="F52" i="120"/>
  <c r="F53" i="120"/>
  <c r="F54" i="120"/>
  <c r="F55" i="120"/>
  <c r="F56" i="120"/>
  <c r="F57" i="120"/>
  <c r="F58" i="120"/>
  <c r="F34" i="120"/>
  <c r="F35" i="127"/>
  <c r="F36" i="127"/>
  <c r="F37" i="127"/>
  <c r="F38" i="127"/>
  <c r="F39" i="127"/>
  <c r="F40" i="127"/>
  <c r="F41" i="127"/>
  <c r="F42" i="127"/>
  <c r="F43" i="127"/>
  <c r="F44" i="127"/>
  <c r="F45" i="127"/>
  <c r="F46" i="127"/>
  <c r="F47" i="127"/>
  <c r="F48" i="127"/>
  <c r="F49" i="127"/>
  <c r="F50" i="127"/>
  <c r="F51" i="127"/>
  <c r="F52" i="127"/>
  <c r="F53" i="127"/>
  <c r="F54" i="127"/>
  <c r="F55" i="127"/>
  <c r="F56" i="127"/>
  <c r="F57" i="127"/>
  <c r="F58" i="127"/>
  <c r="F34" i="127"/>
  <c r="F34" i="134"/>
  <c r="F35" i="134"/>
  <c r="F36" i="134"/>
  <c r="F37" i="134"/>
  <c r="F38" i="134"/>
  <c r="F39" i="134"/>
  <c r="F40" i="134"/>
  <c r="F41" i="134"/>
  <c r="F42" i="134"/>
  <c r="F43" i="134"/>
  <c r="F44" i="134"/>
  <c r="F45" i="134"/>
  <c r="F46" i="134"/>
  <c r="F47" i="134"/>
  <c r="F48" i="134"/>
  <c r="F49" i="134"/>
  <c r="F50" i="134"/>
  <c r="F51" i="134"/>
  <c r="F52" i="134"/>
  <c r="F53" i="134"/>
  <c r="F54" i="134"/>
  <c r="F55" i="134"/>
  <c r="F56" i="134"/>
  <c r="F57" i="134"/>
  <c r="F58" i="134"/>
  <c r="F35" i="141"/>
  <c r="F36" i="141"/>
  <c r="F37" i="141"/>
  <c r="F38" i="141"/>
  <c r="F39" i="141"/>
  <c r="F40" i="141"/>
  <c r="F41" i="141"/>
  <c r="F42" i="141"/>
  <c r="F43" i="141"/>
  <c r="F44" i="141"/>
  <c r="F45" i="141"/>
  <c r="F46" i="141"/>
  <c r="F47" i="141"/>
  <c r="F48" i="141"/>
  <c r="F49" i="141"/>
  <c r="F50" i="141"/>
  <c r="F51" i="141"/>
  <c r="F52" i="141"/>
  <c r="F53" i="141"/>
  <c r="F54" i="141"/>
  <c r="F55" i="141"/>
  <c r="F56" i="141"/>
  <c r="F57" i="141"/>
  <c r="F58" i="141"/>
  <c r="F34" i="141"/>
  <c r="F35" i="148"/>
  <c r="F36" i="148"/>
  <c r="F37" i="148"/>
  <c r="F38" i="148"/>
  <c r="F39" i="148"/>
  <c r="F40" i="148"/>
  <c r="F41" i="148"/>
  <c r="F42" i="148"/>
  <c r="F43" i="148"/>
  <c r="F44" i="148"/>
  <c r="F45" i="148"/>
  <c r="F46" i="148"/>
  <c r="F47" i="148"/>
  <c r="F48" i="148"/>
  <c r="F49" i="148"/>
  <c r="F50" i="148"/>
  <c r="F51" i="148"/>
  <c r="F52" i="148"/>
  <c r="F53" i="148"/>
  <c r="F54" i="148"/>
  <c r="F55" i="148"/>
  <c r="F56" i="148"/>
  <c r="F57" i="148"/>
  <c r="F58" i="148"/>
  <c r="F34" i="148"/>
  <c r="B5" i="148"/>
  <c r="F5" i="148"/>
  <c r="B6" i="148"/>
  <c r="F6" i="148"/>
  <c r="B7" i="148"/>
  <c r="F7" i="148"/>
  <c r="B8" i="148"/>
  <c r="F8" i="148"/>
  <c r="B9" i="148"/>
  <c r="F9" i="148"/>
  <c r="B10" i="148"/>
  <c r="F10" i="148"/>
  <c r="B11" i="148"/>
  <c r="F11" i="148"/>
  <c r="B12" i="148"/>
  <c r="F12" i="148"/>
  <c r="B13" i="148"/>
  <c r="F13" i="148"/>
  <c r="B14" i="148"/>
  <c r="F14" i="148"/>
  <c r="B15" i="148"/>
  <c r="F15" i="148"/>
  <c r="B16" i="148"/>
  <c r="F16" i="148"/>
  <c r="B17" i="148"/>
  <c r="F17" i="148"/>
  <c r="B18" i="148"/>
  <c r="F18" i="148"/>
  <c r="B19" i="148"/>
  <c r="F19" i="148"/>
  <c r="B20" i="148"/>
  <c r="F20" i="148"/>
  <c r="B21" i="148"/>
  <c r="F21" i="148"/>
  <c r="B22" i="148"/>
  <c r="F22" i="148"/>
  <c r="B23" i="148"/>
  <c r="F23" i="148"/>
  <c r="B24" i="148"/>
  <c r="F24" i="148"/>
  <c r="B25" i="148"/>
  <c r="F25" i="148"/>
  <c r="B26" i="148"/>
  <c r="F26" i="148"/>
  <c r="B27" i="148"/>
  <c r="F27" i="148"/>
  <c r="B28" i="148"/>
  <c r="F28" i="148"/>
  <c r="B29" i="148"/>
  <c r="F29" i="148"/>
  <c r="B34" i="148"/>
  <c r="G34" i="148"/>
  <c r="B35" i="148"/>
  <c r="G35" i="148"/>
  <c r="B36" i="148"/>
  <c r="G36" i="148"/>
  <c r="B37" i="148"/>
  <c r="G37" i="148"/>
  <c r="B38" i="148"/>
  <c r="G38" i="148"/>
  <c r="B39" i="148"/>
  <c r="G39" i="148"/>
  <c r="B40" i="148"/>
  <c r="G40" i="148"/>
  <c r="B41" i="148"/>
  <c r="G41" i="148"/>
  <c r="B42" i="148"/>
  <c r="G42" i="148"/>
  <c r="B43" i="148"/>
  <c r="G43" i="148"/>
  <c r="B44" i="148"/>
  <c r="G44" i="148"/>
  <c r="B45" i="148"/>
  <c r="G45" i="148"/>
  <c r="B46" i="148"/>
  <c r="G46" i="148"/>
  <c r="B47" i="148"/>
  <c r="G47" i="148"/>
  <c r="B48" i="148"/>
  <c r="G48" i="148"/>
  <c r="B49" i="148"/>
  <c r="G49" i="148"/>
  <c r="B50" i="148"/>
  <c r="G50" i="148"/>
  <c r="B51" i="148"/>
  <c r="G51" i="148"/>
  <c r="B52" i="148"/>
  <c r="G52" i="148"/>
  <c r="B53" i="148"/>
  <c r="G53" i="148"/>
  <c r="B54" i="148"/>
  <c r="G54" i="148"/>
  <c r="B55" i="148"/>
  <c r="G55" i="148"/>
  <c r="B56" i="148"/>
  <c r="G56" i="148"/>
  <c r="B57" i="148"/>
  <c r="G57" i="148"/>
  <c r="B58" i="148"/>
  <c r="G58" i="148"/>
  <c r="B63" i="148"/>
  <c r="C63" i="148"/>
  <c r="D63" i="148"/>
  <c r="E63" i="148"/>
  <c r="B64" i="148"/>
  <c r="C64" i="148"/>
  <c r="D64" i="148"/>
  <c r="E64" i="148"/>
  <c r="B65" i="148"/>
  <c r="C65" i="148"/>
  <c r="D65" i="148"/>
  <c r="E65" i="148"/>
  <c r="B66" i="148"/>
  <c r="C66" i="148"/>
  <c r="D66" i="148"/>
  <c r="E66" i="148"/>
  <c r="B67" i="148"/>
  <c r="C67" i="148"/>
  <c r="D67" i="148"/>
  <c r="E67" i="148"/>
  <c r="B68" i="148"/>
  <c r="C68" i="148"/>
  <c r="D68" i="148"/>
  <c r="E68" i="148"/>
  <c r="B69" i="148"/>
  <c r="C69" i="148"/>
  <c r="D69" i="148"/>
  <c r="E69" i="148"/>
  <c r="B70" i="148"/>
  <c r="C70" i="148"/>
  <c r="D70" i="148"/>
  <c r="E70" i="148"/>
  <c r="B71" i="148"/>
  <c r="C71" i="148"/>
  <c r="D71" i="148"/>
  <c r="E71" i="148"/>
  <c r="B72" i="148"/>
  <c r="C72" i="148"/>
  <c r="D72" i="148"/>
  <c r="E72" i="148"/>
  <c r="B73" i="148"/>
  <c r="C73" i="148"/>
  <c r="D73" i="148"/>
  <c r="E73" i="148"/>
  <c r="B74" i="148"/>
  <c r="C74" i="148"/>
  <c r="D74" i="148"/>
  <c r="E74" i="148"/>
  <c r="B75" i="148"/>
  <c r="C75" i="148"/>
  <c r="D75" i="148"/>
  <c r="E75" i="148"/>
  <c r="B76" i="148"/>
  <c r="C76" i="148"/>
  <c r="D76" i="148"/>
  <c r="E76" i="148"/>
  <c r="B77" i="148"/>
  <c r="C77" i="148"/>
  <c r="D77" i="148"/>
  <c r="E77" i="148"/>
  <c r="B78" i="148"/>
  <c r="C78" i="148"/>
  <c r="D78" i="148"/>
  <c r="E78" i="148"/>
  <c r="B79" i="148"/>
  <c r="C79" i="148"/>
  <c r="D79" i="148"/>
  <c r="E79" i="148"/>
  <c r="B80" i="148"/>
  <c r="C80" i="148"/>
  <c r="D80" i="148"/>
  <c r="E80" i="148"/>
  <c r="B81" i="148"/>
  <c r="C81" i="148"/>
  <c r="D81" i="148"/>
  <c r="E81" i="148"/>
  <c r="B82" i="148"/>
  <c r="C82" i="148"/>
  <c r="D82" i="148"/>
  <c r="E82" i="148"/>
  <c r="B83" i="148"/>
  <c r="C83" i="148"/>
  <c r="D83" i="148"/>
  <c r="E83" i="148"/>
  <c r="B84" i="148"/>
  <c r="C84" i="148"/>
  <c r="D84" i="148"/>
  <c r="E84" i="148"/>
  <c r="B85" i="148"/>
  <c r="C85" i="148"/>
  <c r="D85" i="148"/>
  <c r="E85" i="148"/>
  <c r="B86" i="148"/>
  <c r="C86" i="148"/>
  <c r="D86" i="148"/>
  <c r="E86" i="148"/>
  <c r="B87" i="148"/>
  <c r="C87" i="148"/>
  <c r="D87" i="148"/>
  <c r="E87" i="148"/>
  <c r="C6" i="147"/>
  <c r="E6" i="147"/>
  <c r="C7" i="147"/>
  <c r="E7" i="147"/>
  <c r="C8" i="147"/>
  <c r="E8" i="147"/>
  <c r="C9" i="147"/>
  <c r="E9" i="147"/>
  <c r="C10" i="147"/>
  <c r="E10" i="147"/>
  <c r="C11" i="147"/>
  <c r="E11" i="147"/>
  <c r="C12" i="147"/>
  <c r="E12" i="147"/>
  <c r="C13" i="147"/>
  <c r="E13" i="147"/>
  <c r="C14" i="147"/>
  <c r="E14" i="147"/>
  <c r="C15" i="147"/>
  <c r="E15" i="147"/>
  <c r="C16" i="147"/>
  <c r="E16" i="147"/>
  <c r="C17" i="147"/>
  <c r="E17" i="147"/>
  <c r="C18" i="147"/>
  <c r="E18" i="147"/>
  <c r="C19" i="147"/>
  <c r="E19" i="147"/>
  <c r="C20" i="147"/>
  <c r="E20" i="147"/>
  <c r="C21" i="147"/>
  <c r="E21" i="147"/>
  <c r="C22" i="147"/>
  <c r="E22" i="147"/>
  <c r="C23" i="147"/>
  <c r="E23" i="147"/>
  <c r="C24" i="147"/>
  <c r="E24" i="147"/>
  <c r="C25" i="147"/>
  <c r="E25" i="147"/>
  <c r="C26" i="147"/>
  <c r="E26" i="147"/>
  <c r="C27" i="147"/>
  <c r="E27" i="147"/>
  <c r="C28" i="147"/>
  <c r="E28" i="147"/>
  <c r="C29" i="147"/>
  <c r="E29" i="147"/>
  <c r="C30" i="147"/>
  <c r="E30" i="147"/>
  <c r="C37" i="147"/>
  <c r="E37" i="147"/>
  <c r="C38" i="147"/>
  <c r="E38" i="147"/>
  <c r="C39" i="147"/>
  <c r="E39" i="147"/>
  <c r="C40" i="147"/>
  <c r="E40" i="147"/>
  <c r="C41" i="147"/>
  <c r="E41" i="147"/>
  <c r="C42" i="147"/>
  <c r="E42" i="147"/>
  <c r="C43" i="147"/>
  <c r="E43" i="147"/>
  <c r="C44" i="147"/>
  <c r="E44" i="147"/>
  <c r="C45" i="147"/>
  <c r="E45" i="147"/>
  <c r="C46" i="147"/>
  <c r="E46" i="147"/>
  <c r="C47" i="147"/>
  <c r="E47" i="147"/>
  <c r="C48" i="147"/>
  <c r="E48" i="147"/>
  <c r="C49" i="147"/>
  <c r="E49" i="147"/>
  <c r="C50" i="147"/>
  <c r="E50" i="147"/>
  <c r="C51" i="147"/>
  <c r="E51" i="147"/>
  <c r="C52" i="147"/>
  <c r="E52" i="147"/>
  <c r="C53" i="147"/>
  <c r="E53" i="147"/>
  <c r="C54" i="147"/>
  <c r="E54" i="147"/>
  <c r="C55" i="147"/>
  <c r="E55" i="147"/>
  <c r="C56" i="147"/>
  <c r="E56" i="147"/>
  <c r="C57" i="147"/>
  <c r="E57" i="147"/>
  <c r="C58" i="147"/>
  <c r="E58" i="147"/>
  <c r="C59" i="147"/>
  <c r="E59" i="147"/>
  <c r="C60" i="147"/>
  <c r="E60" i="147"/>
  <c r="C61" i="147"/>
  <c r="E61" i="147"/>
  <c r="C68" i="147"/>
  <c r="D68" i="147"/>
  <c r="E68" i="147"/>
  <c r="C69" i="147"/>
  <c r="D69" i="147"/>
  <c r="E69" i="147"/>
  <c r="C70" i="147"/>
  <c r="D70" i="147"/>
  <c r="E70" i="147"/>
  <c r="C71" i="147"/>
  <c r="D71" i="147"/>
  <c r="E71" i="147"/>
  <c r="C72" i="147"/>
  <c r="D72" i="147"/>
  <c r="E72" i="147"/>
  <c r="C73" i="147"/>
  <c r="D73" i="147"/>
  <c r="E73" i="147"/>
  <c r="C74" i="147"/>
  <c r="D74" i="147"/>
  <c r="E74" i="147"/>
  <c r="C75" i="147"/>
  <c r="D75" i="147"/>
  <c r="E75" i="147"/>
  <c r="C76" i="147"/>
  <c r="D76" i="147"/>
  <c r="E76" i="147"/>
  <c r="C77" i="147"/>
  <c r="D77" i="147"/>
  <c r="E77" i="147"/>
  <c r="C78" i="147"/>
  <c r="D78" i="147"/>
  <c r="E78" i="147"/>
  <c r="C79" i="147"/>
  <c r="D79" i="147"/>
  <c r="E79" i="147"/>
  <c r="C80" i="147"/>
  <c r="D80" i="147"/>
  <c r="E80" i="147"/>
  <c r="C81" i="147"/>
  <c r="D81" i="147"/>
  <c r="E81" i="147"/>
  <c r="C82" i="147"/>
  <c r="D82" i="147"/>
  <c r="E82" i="147"/>
  <c r="C83" i="147"/>
  <c r="D83" i="147"/>
  <c r="E83" i="147"/>
  <c r="C84" i="147"/>
  <c r="D84" i="147"/>
  <c r="E84" i="147"/>
  <c r="C85" i="147"/>
  <c r="D85" i="147"/>
  <c r="E85" i="147"/>
  <c r="C86" i="147"/>
  <c r="D86" i="147"/>
  <c r="E86" i="147"/>
  <c r="C87" i="147"/>
  <c r="D87" i="147"/>
  <c r="E87" i="147"/>
  <c r="C88" i="147"/>
  <c r="D88" i="147"/>
  <c r="E88" i="147"/>
  <c r="C89" i="147"/>
  <c r="D89" i="147"/>
  <c r="E89" i="147"/>
  <c r="C90" i="147"/>
  <c r="D90" i="147"/>
  <c r="E90" i="147"/>
  <c r="C91" i="147"/>
  <c r="D91" i="147"/>
  <c r="E91" i="147"/>
  <c r="C92" i="147"/>
  <c r="D92" i="147"/>
  <c r="E92" i="147"/>
  <c r="B6" i="146"/>
  <c r="D6" i="146"/>
  <c r="B7" i="146"/>
  <c r="D7" i="146"/>
  <c r="B8" i="146"/>
  <c r="D8" i="146"/>
  <c r="B9" i="146"/>
  <c r="D9" i="146"/>
  <c r="B10" i="146"/>
  <c r="D10" i="146"/>
  <c r="B11" i="146"/>
  <c r="D11" i="146"/>
  <c r="B12" i="146"/>
  <c r="D12" i="146"/>
  <c r="B13" i="146"/>
  <c r="D13" i="146"/>
  <c r="B14" i="146"/>
  <c r="D14" i="146"/>
  <c r="B15" i="146"/>
  <c r="D15" i="146"/>
  <c r="B16" i="146"/>
  <c r="D16" i="146"/>
  <c r="B17" i="146"/>
  <c r="D17" i="146"/>
  <c r="B18" i="146"/>
  <c r="D18" i="146"/>
  <c r="B19" i="146"/>
  <c r="D19" i="146"/>
  <c r="B20" i="146"/>
  <c r="D20" i="146"/>
  <c r="B21" i="146"/>
  <c r="D21" i="146"/>
  <c r="B22" i="146"/>
  <c r="D22" i="146"/>
  <c r="B23" i="146"/>
  <c r="D23" i="146"/>
  <c r="B24" i="146"/>
  <c r="D24" i="146"/>
  <c r="B25" i="146"/>
  <c r="D25" i="146"/>
  <c r="B26" i="146"/>
  <c r="D26" i="146"/>
  <c r="B27" i="146"/>
  <c r="D27" i="146"/>
  <c r="B28" i="146"/>
  <c r="D28" i="146"/>
  <c r="B29" i="146"/>
  <c r="D29" i="146"/>
  <c r="B30" i="146"/>
  <c r="D30" i="146"/>
  <c r="B36" i="146"/>
  <c r="D36" i="146"/>
  <c r="B37" i="146"/>
  <c r="D37" i="146"/>
  <c r="B38" i="146"/>
  <c r="D38" i="146"/>
  <c r="B39" i="146"/>
  <c r="D39" i="146"/>
  <c r="B40" i="146"/>
  <c r="D40" i="146"/>
  <c r="B41" i="146"/>
  <c r="D41" i="146"/>
  <c r="B42" i="146"/>
  <c r="D42" i="146"/>
  <c r="B43" i="146"/>
  <c r="D43" i="146"/>
  <c r="B44" i="146"/>
  <c r="D44" i="146"/>
  <c r="B45" i="146"/>
  <c r="D45" i="146"/>
  <c r="B46" i="146"/>
  <c r="D46" i="146"/>
  <c r="B47" i="146"/>
  <c r="D47" i="146"/>
  <c r="B48" i="146"/>
  <c r="D48" i="146"/>
  <c r="B49" i="146"/>
  <c r="D49" i="146"/>
  <c r="B50" i="146"/>
  <c r="D50" i="146"/>
  <c r="B51" i="146"/>
  <c r="D51" i="146"/>
  <c r="B52" i="146"/>
  <c r="D52" i="146"/>
  <c r="B53" i="146"/>
  <c r="D53" i="146"/>
  <c r="B54" i="146"/>
  <c r="D54" i="146"/>
  <c r="B55" i="146"/>
  <c r="D55" i="146"/>
  <c r="B56" i="146"/>
  <c r="D56" i="146"/>
  <c r="B57" i="146"/>
  <c r="D57" i="146"/>
  <c r="B58" i="146"/>
  <c r="D58" i="146"/>
  <c r="B59" i="146"/>
  <c r="D59" i="146"/>
  <c r="B60" i="146"/>
  <c r="D60" i="146"/>
  <c r="B65" i="146"/>
  <c r="D65" i="146"/>
  <c r="B66" i="146"/>
  <c r="D66" i="146"/>
  <c r="B67" i="146"/>
  <c r="D67" i="146"/>
  <c r="B68" i="146"/>
  <c r="D68" i="146"/>
  <c r="B69" i="146"/>
  <c r="D69" i="146"/>
  <c r="B70" i="146"/>
  <c r="D70" i="146"/>
  <c r="B71" i="146"/>
  <c r="D71" i="146"/>
  <c r="B72" i="146"/>
  <c r="D72" i="146"/>
  <c r="B73" i="146"/>
  <c r="D73" i="146"/>
  <c r="B74" i="146"/>
  <c r="D74" i="146"/>
  <c r="B75" i="146"/>
  <c r="D75" i="146"/>
  <c r="B76" i="146"/>
  <c r="D76" i="146"/>
  <c r="B77" i="146"/>
  <c r="D77" i="146"/>
  <c r="B78" i="146"/>
  <c r="D78" i="146"/>
  <c r="B79" i="146"/>
  <c r="D79" i="146"/>
  <c r="B80" i="146"/>
  <c r="D80" i="146"/>
  <c r="B81" i="146"/>
  <c r="D81" i="146"/>
  <c r="B82" i="146"/>
  <c r="D82" i="146"/>
  <c r="B83" i="146"/>
  <c r="D83" i="146"/>
  <c r="B84" i="146"/>
  <c r="D84" i="146"/>
  <c r="B85" i="146"/>
  <c r="D85" i="146"/>
  <c r="B86" i="146"/>
  <c r="D86" i="146"/>
  <c r="B87" i="146"/>
  <c r="D87" i="146"/>
  <c r="B88" i="146"/>
  <c r="D88" i="146"/>
  <c r="B89" i="146"/>
  <c r="D89" i="146"/>
  <c r="B97" i="146"/>
  <c r="D97" i="146"/>
  <c r="B98" i="146"/>
  <c r="D98" i="146"/>
  <c r="B99" i="146"/>
  <c r="D99" i="146"/>
  <c r="B100" i="146"/>
  <c r="D100" i="146"/>
  <c r="B101" i="146"/>
  <c r="D101" i="146"/>
  <c r="B102" i="146"/>
  <c r="D102" i="146"/>
  <c r="B103" i="146"/>
  <c r="D103" i="146"/>
  <c r="B104" i="146"/>
  <c r="D104" i="146"/>
  <c r="B105" i="146"/>
  <c r="D105" i="146"/>
  <c r="B106" i="146"/>
  <c r="D106" i="146"/>
  <c r="B107" i="146"/>
  <c r="D107" i="146"/>
  <c r="B108" i="146"/>
  <c r="D108" i="146"/>
  <c r="B109" i="146"/>
  <c r="D109" i="146"/>
  <c r="B110" i="146"/>
  <c r="D110" i="146"/>
  <c r="B111" i="146"/>
  <c r="D111" i="146"/>
  <c r="B112" i="146"/>
  <c r="D112" i="146"/>
  <c r="B113" i="146"/>
  <c r="D113" i="146"/>
  <c r="B114" i="146"/>
  <c r="D114" i="146"/>
  <c r="B115" i="146"/>
  <c r="D115" i="146"/>
  <c r="B116" i="146"/>
  <c r="D116" i="146"/>
  <c r="B117" i="146"/>
  <c r="D117" i="146"/>
  <c r="B118" i="146"/>
  <c r="D118" i="146"/>
  <c r="B119" i="146"/>
  <c r="D119" i="146"/>
  <c r="B120" i="146"/>
  <c r="D120" i="146"/>
  <c r="B121" i="146"/>
  <c r="D121" i="146"/>
  <c r="B127" i="146"/>
  <c r="D127" i="146"/>
  <c r="B128" i="146"/>
  <c r="D128" i="146"/>
  <c r="B129" i="146"/>
  <c r="D129" i="146"/>
  <c r="B130" i="146"/>
  <c r="D130" i="146"/>
  <c r="B131" i="146"/>
  <c r="D131" i="146"/>
  <c r="B132" i="146"/>
  <c r="D132" i="146"/>
  <c r="B133" i="146"/>
  <c r="D133" i="146"/>
  <c r="B134" i="146"/>
  <c r="D134" i="146"/>
  <c r="B135" i="146"/>
  <c r="D135" i="146"/>
  <c r="B136" i="146"/>
  <c r="D136" i="146"/>
  <c r="B137" i="146"/>
  <c r="D137" i="146"/>
  <c r="B138" i="146"/>
  <c r="D138" i="146"/>
  <c r="B139" i="146"/>
  <c r="D139" i="146"/>
  <c r="B140" i="146"/>
  <c r="D140" i="146"/>
  <c r="B141" i="146"/>
  <c r="D141" i="146"/>
  <c r="B142" i="146"/>
  <c r="D142" i="146"/>
  <c r="B143" i="146"/>
  <c r="D143" i="146"/>
  <c r="B144" i="146"/>
  <c r="D144" i="146"/>
  <c r="B145" i="146"/>
  <c r="D145" i="146"/>
  <c r="B146" i="146"/>
  <c r="D146" i="146"/>
  <c r="B147" i="146"/>
  <c r="D147" i="146"/>
  <c r="B148" i="146"/>
  <c r="D148" i="146"/>
  <c r="B149" i="146"/>
  <c r="D149" i="146"/>
  <c r="B150" i="146"/>
  <c r="D150" i="146"/>
  <c r="B151" i="146"/>
  <c r="D151" i="146"/>
  <c r="B156" i="146"/>
  <c r="D156" i="146"/>
  <c r="B157" i="146"/>
  <c r="D157" i="146"/>
  <c r="B158" i="146"/>
  <c r="D158" i="146"/>
  <c r="B159" i="146"/>
  <c r="D159" i="146"/>
  <c r="B160" i="146"/>
  <c r="D160" i="146"/>
  <c r="B161" i="146"/>
  <c r="D161" i="146"/>
  <c r="B162" i="146"/>
  <c r="D162" i="146"/>
  <c r="B163" i="146"/>
  <c r="D163" i="146"/>
  <c r="B164" i="146"/>
  <c r="D164" i="146"/>
  <c r="B165" i="146"/>
  <c r="D165" i="146"/>
  <c r="B166" i="146"/>
  <c r="D166" i="146"/>
  <c r="B167" i="146"/>
  <c r="D167" i="146"/>
  <c r="B168" i="146"/>
  <c r="D168" i="146"/>
  <c r="B169" i="146"/>
  <c r="D169" i="146"/>
  <c r="B170" i="146"/>
  <c r="D170" i="146"/>
  <c r="B171" i="146"/>
  <c r="D171" i="146"/>
  <c r="B172" i="146"/>
  <c r="D172" i="146"/>
  <c r="B173" i="146"/>
  <c r="D173" i="146"/>
  <c r="B174" i="146"/>
  <c r="D174" i="146"/>
  <c r="B175" i="146"/>
  <c r="D175" i="146"/>
  <c r="B176" i="146"/>
  <c r="D176" i="146"/>
  <c r="B177" i="146"/>
  <c r="D177" i="146"/>
  <c r="B178" i="146"/>
  <c r="D178" i="146"/>
  <c r="B179" i="146"/>
  <c r="D179" i="146"/>
  <c r="B180" i="146"/>
  <c r="D180" i="146"/>
  <c r="B7" i="145"/>
  <c r="D7" i="145"/>
  <c r="B8" i="145"/>
  <c r="D8" i="145"/>
  <c r="B9" i="145"/>
  <c r="D9" i="145"/>
  <c r="B10" i="145"/>
  <c r="D10" i="145"/>
  <c r="B11" i="145"/>
  <c r="D11" i="145"/>
  <c r="B12" i="145"/>
  <c r="D12" i="145"/>
  <c r="B13" i="145"/>
  <c r="D13" i="145"/>
  <c r="B14" i="145"/>
  <c r="D14" i="145"/>
  <c r="B15" i="145"/>
  <c r="D15" i="145"/>
  <c r="B16" i="145"/>
  <c r="D16" i="145"/>
  <c r="B17" i="145"/>
  <c r="D17" i="145"/>
  <c r="B18" i="145"/>
  <c r="D18" i="145"/>
  <c r="B19" i="145"/>
  <c r="D19" i="145"/>
  <c r="B20" i="145"/>
  <c r="D20" i="145"/>
  <c r="B21" i="145"/>
  <c r="D21" i="145"/>
  <c r="B22" i="145"/>
  <c r="D22" i="145"/>
  <c r="B23" i="145"/>
  <c r="D23" i="145"/>
  <c r="B24" i="145"/>
  <c r="D24" i="145"/>
  <c r="B25" i="145"/>
  <c r="D25" i="145"/>
  <c r="B26" i="145"/>
  <c r="D26" i="145"/>
  <c r="B27" i="145"/>
  <c r="D27" i="145"/>
  <c r="B28" i="145"/>
  <c r="D28" i="145"/>
  <c r="B29" i="145"/>
  <c r="D29" i="145"/>
  <c r="B30" i="145"/>
  <c r="D30" i="145"/>
  <c r="B31" i="145"/>
  <c r="D31" i="145"/>
  <c r="B36" i="145"/>
  <c r="D36" i="145"/>
  <c r="B37" i="145"/>
  <c r="D37" i="145"/>
  <c r="B38" i="145"/>
  <c r="D38" i="145"/>
  <c r="B39" i="145"/>
  <c r="D39" i="145"/>
  <c r="B40" i="145"/>
  <c r="D40" i="145"/>
  <c r="B41" i="145"/>
  <c r="D41" i="145"/>
  <c r="B42" i="145"/>
  <c r="D42" i="145"/>
  <c r="B43" i="145"/>
  <c r="D43" i="145"/>
  <c r="B44" i="145"/>
  <c r="D44" i="145"/>
  <c r="B45" i="145"/>
  <c r="D45" i="145"/>
  <c r="B46" i="145"/>
  <c r="D46" i="145"/>
  <c r="B47" i="145"/>
  <c r="D47" i="145"/>
  <c r="B48" i="145"/>
  <c r="D48" i="145"/>
  <c r="B49" i="145"/>
  <c r="D49" i="145"/>
  <c r="B50" i="145"/>
  <c r="D50" i="145"/>
  <c r="B51" i="145"/>
  <c r="D51" i="145"/>
  <c r="B52" i="145"/>
  <c r="D52" i="145"/>
  <c r="B53" i="145"/>
  <c r="D53" i="145"/>
  <c r="B54" i="145"/>
  <c r="D54" i="145"/>
  <c r="B55" i="145"/>
  <c r="D55" i="145"/>
  <c r="B56" i="145"/>
  <c r="D56" i="145"/>
  <c r="B57" i="145"/>
  <c r="D57" i="145"/>
  <c r="B58" i="145"/>
  <c r="D58" i="145"/>
  <c r="B59" i="145"/>
  <c r="D59" i="145"/>
  <c r="B60" i="145"/>
  <c r="D60" i="145"/>
  <c r="B66" i="145"/>
  <c r="D66" i="145"/>
  <c r="B67" i="145"/>
  <c r="D67" i="145"/>
  <c r="B68" i="145"/>
  <c r="D68" i="145"/>
  <c r="B69" i="145"/>
  <c r="D69" i="145"/>
  <c r="B70" i="145"/>
  <c r="D70" i="145"/>
  <c r="B71" i="145"/>
  <c r="D71" i="145"/>
  <c r="B72" i="145"/>
  <c r="D72" i="145"/>
  <c r="B73" i="145"/>
  <c r="D73" i="145"/>
  <c r="B74" i="145"/>
  <c r="D74" i="145"/>
  <c r="B75" i="145"/>
  <c r="D75" i="145"/>
  <c r="B76" i="145"/>
  <c r="D76" i="145"/>
  <c r="B77" i="145"/>
  <c r="D77" i="145"/>
  <c r="B78" i="145"/>
  <c r="D78" i="145"/>
  <c r="B79" i="145"/>
  <c r="D79" i="145"/>
  <c r="B80" i="145"/>
  <c r="D80" i="145"/>
  <c r="B81" i="145"/>
  <c r="D81" i="145"/>
  <c r="B82" i="145"/>
  <c r="D82" i="145"/>
  <c r="B83" i="145"/>
  <c r="D83" i="145"/>
  <c r="B84" i="145"/>
  <c r="D84" i="145"/>
  <c r="B85" i="145"/>
  <c r="D85" i="145"/>
  <c r="B86" i="145"/>
  <c r="D86" i="145"/>
  <c r="B87" i="145"/>
  <c r="D87" i="145"/>
  <c r="B88" i="145"/>
  <c r="D88" i="145"/>
  <c r="B89" i="145"/>
  <c r="D89" i="145"/>
  <c r="B90" i="145"/>
  <c r="D90" i="145"/>
  <c r="B96" i="145"/>
  <c r="D96" i="145"/>
  <c r="B97" i="145"/>
  <c r="D97" i="145"/>
  <c r="B98" i="145"/>
  <c r="D98" i="145"/>
  <c r="B99" i="145"/>
  <c r="D99" i="145"/>
  <c r="B100" i="145"/>
  <c r="D100" i="145"/>
  <c r="B101" i="145"/>
  <c r="D101" i="145"/>
  <c r="B102" i="145"/>
  <c r="D102" i="145"/>
  <c r="B103" i="145"/>
  <c r="D103" i="145"/>
  <c r="B104" i="145"/>
  <c r="D104" i="145"/>
  <c r="B105" i="145"/>
  <c r="D105" i="145"/>
  <c r="B106" i="145"/>
  <c r="D106" i="145"/>
  <c r="B107" i="145"/>
  <c r="D107" i="145"/>
  <c r="B108" i="145"/>
  <c r="D108" i="145"/>
  <c r="B109" i="145"/>
  <c r="D109" i="145"/>
  <c r="B110" i="145"/>
  <c r="D110" i="145"/>
  <c r="B111" i="145"/>
  <c r="D111" i="145"/>
  <c r="B112" i="145"/>
  <c r="D112" i="145"/>
  <c r="B113" i="145"/>
  <c r="D113" i="145"/>
  <c r="B114" i="145"/>
  <c r="D114" i="145"/>
  <c r="B115" i="145"/>
  <c r="D115" i="145"/>
  <c r="B116" i="145"/>
  <c r="D116" i="145"/>
  <c r="B117" i="145"/>
  <c r="D117" i="145"/>
  <c r="B118" i="145"/>
  <c r="D118" i="145"/>
  <c r="B119" i="145"/>
  <c r="D119" i="145"/>
  <c r="B120" i="145"/>
  <c r="D120" i="145"/>
  <c r="B125" i="145"/>
  <c r="D125" i="145"/>
  <c r="B126" i="145"/>
  <c r="D126" i="145"/>
  <c r="B127" i="145"/>
  <c r="D127" i="145"/>
  <c r="B128" i="145"/>
  <c r="D128" i="145"/>
  <c r="B129" i="145"/>
  <c r="D129" i="145"/>
  <c r="B130" i="145"/>
  <c r="D130" i="145"/>
  <c r="B131" i="145"/>
  <c r="D131" i="145"/>
  <c r="B132" i="145"/>
  <c r="D132" i="145"/>
  <c r="B133" i="145"/>
  <c r="D133" i="145"/>
  <c r="B134" i="145"/>
  <c r="D134" i="145"/>
  <c r="B135" i="145"/>
  <c r="D135" i="145"/>
  <c r="B136" i="145"/>
  <c r="D136" i="145"/>
  <c r="B137" i="145"/>
  <c r="D137" i="145"/>
  <c r="B138" i="145"/>
  <c r="D138" i="145"/>
  <c r="B139" i="145"/>
  <c r="D139" i="145"/>
  <c r="B140" i="145"/>
  <c r="D140" i="145"/>
  <c r="B141" i="145"/>
  <c r="D141" i="145"/>
  <c r="B142" i="145"/>
  <c r="D142" i="145"/>
  <c r="B143" i="145"/>
  <c r="D143" i="145"/>
  <c r="B144" i="145"/>
  <c r="D144" i="145"/>
  <c r="B145" i="145"/>
  <c r="D145" i="145"/>
  <c r="B146" i="145"/>
  <c r="D146" i="145"/>
  <c r="B147" i="145"/>
  <c r="D147" i="145"/>
  <c r="B148" i="145"/>
  <c r="D148" i="145"/>
  <c r="B149" i="145"/>
  <c r="D149" i="145"/>
  <c r="B154" i="145"/>
  <c r="D154" i="145"/>
  <c r="B155" i="145"/>
  <c r="D155" i="145"/>
  <c r="B156" i="145"/>
  <c r="D156" i="145"/>
  <c r="B157" i="145"/>
  <c r="D157" i="145"/>
  <c r="B158" i="145"/>
  <c r="D158" i="145"/>
  <c r="B159" i="145"/>
  <c r="D159" i="145"/>
  <c r="B160" i="145"/>
  <c r="D160" i="145"/>
  <c r="B161" i="145"/>
  <c r="D161" i="145"/>
  <c r="B162" i="145"/>
  <c r="D162" i="145"/>
  <c r="B163" i="145"/>
  <c r="D163" i="145"/>
  <c r="B164" i="145"/>
  <c r="D164" i="145"/>
  <c r="B165" i="145"/>
  <c r="D165" i="145"/>
  <c r="B166" i="145"/>
  <c r="D166" i="145"/>
  <c r="B167" i="145"/>
  <c r="D167" i="145"/>
  <c r="B168" i="145"/>
  <c r="D168" i="145"/>
  <c r="B169" i="145"/>
  <c r="D169" i="145"/>
  <c r="B170" i="145"/>
  <c r="D170" i="145"/>
  <c r="B171" i="145"/>
  <c r="D171" i="145"/>
  <c r="B172" i="145"/>
  <c r="D172" i="145"/>
  <c r="B173" i="145"/>
  <c r="D173" i="145"/>
  <c r="B174" i="145"/>
  <c r="D174" i="145"/>
  <c r="B175" i="145"/>
  <c r="D175" i="145"/>
  <c r="B176" i="145"/>
  <c r="D176" i="145"/>
  <c r="B177" i="145"/>
  <c r="D177" i="145"/>
  <c r="B178" i="145"/>
  <c r="D178" i="145"/>
  <c r="B184" i="145"/>
  <c r="C184" i="145"/>
  <c r="E184" i="145"/>
  <c r="B185" i="145"/>
  <c r="C185" i="145"/>
  <c r="E185" i="145"/>
  <c r="B186" i="145"/>
  <c r="C186" i="145"/>
  <c r="E186" i="145"/>
  <c r="B187" i="145"/>
  <c r="C187" i="145"/>
  <c r="E187" i="145"/>
  <c r="B188" i="145"/>
  <c r="C188" i="145"/>
  <c r="E188" i="145"/>
  <c r="B189" i="145"/>
  <c r="C189" i="145"/>
  <c r="E189" i="145"/>
  <c r="B190" i="145"/>
  <c r="C190" i="145"/>
  <c r="E190" i="145"/>
  <c r="B191" i="145"/>
  <c r="C191" i="145"/>
  <c r="E191" i="145"/>
  <c r="B192" i="145"/>
  <c r="C192" i="145"/>
  <c r="E192" i="145"/>
  <c r="B193" i="145"/>
  <c r="C193" i="145"/>
  <c r="E193" i="145"/>
  <c r="B194" i="145"/>
  <c r="C194" i="145"/>
  <c r="E194" i="145"/>
  <c r="B195" i="145"/>
  <c r="C195" i="145"/>
  <c r="E195" i="145"/>
  <c r="B196" i="145"/>
  <c r="C196" i="145"/>
  <c r="E196" i="145"/>
  <c r="B197" i="145"/>
  <c r="C197" i="145"/>
  <c r="E197" i="145"/>
  <c r="B198" i="145"/>
  <c r="C198" i="145"/>
  <c r="E198" i="145"/>
  <c r="B199" i="145"/>
  <c r="C199" i="145"/>
  <c r="E199" i="145"/>
  <c r="B200" i="145"/>
  <c r="C200" i="145"/>
  <c r="E200" i="145"/>
  <c r="B201" i="145"/>
  <c r="C201" i="145"/>
  <c r="E201" i="145"/>
  <c r="B202" i="145"/>
  <c r="C202" i="145"/>
  <c r="E202" i="145"/>
  <c r="B203" i="145"/>
  <c r="C203" i="145"/>
  <c r="E203" i="145"/>
  <c r="B204" i="145"/>
  <c r="C204" i="145"/>
  <c r="E204" i="145"/>
  <c r="B205" i="145"/>
  <c r="C205" i="145"/>
  <c r="E205" i="145"/>
  <c r="B206" i="145"/>
  <c r="C206" i="145"/>
  <c r="E206" i="145"/>
  <c r="B207" i="145"/>
  <c r="C207" i="145"/>
  <c r="E207" i="145"/>
  <c r="B208" i="145"/>
  <c r="C208" i="145"/>
  <c r="E208" i="145"/>
  <c r="B213" i="145"/>
  <c r="C213" i="145"/>
  <c r="E213" i="145"/>
  <c r="B214" i="145"/>
  <c r="C214" i="145"/>
  <c r="E214" i="145"/>
  <c r="B215" i="145"/>
  <c r="C215" i="145"/>
  <c r="E215" i="145"/>
  <c r="B216" i="145"/>
  <c r="C216" i="145"/>
  <c r="E216" i="145"/>
  <c r="B217" i="145"/>
  <c r="C217" i="145"/>
  <c r="E217" i="145"/>
  <c r="B218" i="145"/>
  <c r="C218" i="145"/>
  <c r="E218" i="145"/>
  <c r="B219" i="145"/>
  <c r="C219" i="145"/>
  <c r="E219" i="145"/>
  <c r="B220" i="145"/>
  <c r="C220" i="145"/>
  <c r="E220" i="145"/>
  <c r="B221" i="145"/>
  <c r="C221" i="145"/>
  <c r="E221" i="145"/>
  <c r="B222" i="145"/>
  <c r="C222" i="145"/>
  <c r="E222" i="145"/>
  <c r="B223" i="145"/>
  <c r="C223" i="145"/>
  <c r="E223" i="145"/>
  <c r="B224" i="145"/>
  <c r="C224" i="145"/>
  <c r="E224" i="145"/>
  <c r="B225" i="145"/>
  <c r="C225" i="145"/>
  <c r="E225" i="145"/>
  <c r="B226" i="145"/>
  <c r="C226" i="145"/>
  <c r="E226" i="145"/>
  <c r="B227" i="145"/>
  <c r="C227" i="145"/>
  <c r="E227" i="145"/>
  <c r="B228" i="145"/>
  <c r="C228" i="145"/>
  <c r="E228" i="145"/>
  <c r="B229" i="145"/>
  <c r="C229" i="145"/>
  <c r="E229" i="145"/>
  <c r="B230" i="145"/>
  <c r="C230" i="145"/>
  <c r="E230" i="145"/>
  <c r="B231" i="145"/>
  <c r="C231" i="145"/>
  <c r="E231" i="145"/>
  <c r="B232" i="145"/>
  <c r="C232" i="145"/>
  <c r="E232" i="145"/>
  <c r="B233" i="145"/>
  <c r="C233" i="145"/>
  <c r="E233" i="145"/>
  <c r="B234" i="145"/>
  <c r="C234" i="145"/>
  <c r="E234" i="145"/>
  <c r="B235" i="145"/>
  <c r="C235" i="145"/>
  <c r="E235" i="145"/>
  <c r="B236" i="145"/>
  <c r="C236" i="145"/>
  <c r="E236" i="145"/>
  <c r="B237" i="145"/>
  <c r="C237" i="145"/>
  <c r="E237" i="145"/>
  <c r="B2" i="144"/>
  <c r="B3" i="144"/>
  <c r="B4" i="144"/>
  <c r="B5" i="144"/>
  <c r="B6" i="144"/>
  <c r="B7" i="144"/>
  <c r="B8" i="144"/>
  <c r="B9" i="144"/>
  <c r="B10" i="144"/>
  <c r="B11" i="144"/>
  <c r="B12" i="144"/>
  <c r="B13" i="144"/>
  <c r="B14" i="144"/>
  <c r="B15" i="144"/>
  <c r="B16" i="144"/>
  <c r="B17" i="144"/>
  <c r="B18" i="144"/>
  <c r="B19" i="144"/>
  <c r="B20" i="144"/>
  <c r="B21" i="144"/>
  <c r="B22" i="144"/>
  <c r="B23" i="144"/>
  <c r="B24" i="144"/>
  <c r="B25" i="144"/>
  <c r="B26" i="144"/>
  <c r="B5" i="141"/>
  <c r="F5" i="141"/>
  <c r="B6" i="141"/>
  <c r="F6" i="141"/>
  <c r="B7" i="141"/>
  <c r="F7" i="141"/>
  <c r="B8" i="141"/>
  <c r="F8" i="141"/>
  <c r="B9" i="141"/>
  <c r="F9" i="141"/>
  <c r="B10" i="141"/>
  <c r="F10" i="141"/>
  <c r="B11" i="141"/>
  <c r="F11" i="141"/>
  <c r="B12" i="141"/>
  <c r="F12" i="141"/>
  <c r="B13" i="141"/>
  <c r="F13" i="141"/>
  <c r="B14" i="141"/>
  <c r="F14" i="141"/>
  <c r="B15" i="141"/>
  <c r="F15" i="141"/>
  <c r="B16" i="141"/>
  <c r="F16" i="141"/>
  <c r="B17" i="141"/>
  <c r="F17" i="141"/>
  <c r="B18" i="141"/>
  <c r="F18" i="141"/>
  <c r="B19" i="141"/>
  <c r="F19" i="141"/>
  <c r="B20" i="141"/>
  <c r="F20" i="141"/>
  <c r="B21" i="141"/>
  <c r="F21" i="141"/>
  <c r="B22" i="141"/>
  <c r="F22" i="141"/>
  <c r="B23" i="141"/>
  <c r="F23" i="141"/>
  <c r="B24" i="141"/>
  <c r="F24" i="141"/>
  <c r="B25" i="141"/>
  <c r="F25" i="141"/>
  <c r="B26" i="141"/>
  <c r="F26" i="141"/>
  <c r="B27" i="141"/>
  <c r="F27" i="141"/>
  <c r="B28" i="141"/>
  <c r="F28" i="141"/>
  <c r="B29" i="141"/>
  <c r="F29" i="141"/>
  <c r="B34" i="141"/>
  <c r="G34" i="141"/>
  <c r="B35" i="141"/>
  <c r="G35" i="141"/>
  <c r="B36" i="141"/>
  <c r="G36" i="141"/>
  <c r="B37" i="141"/>
  <c r="G37" i="141"/>
  <c r="B38" i="141"/>
  <c r="G38" i="141"/>
  <c r="B39" i="141"/>
  <c r="G39" i="141"/>
  <c r="B40" i="141"/>
  <c r="G40" i="141"/>
  <c r="B41" i="141"/>
  <c r="G41" i="141"/>
  <c r="B42" i="141"/>
  <c r="G42" i="141"/>
  <c r="B43" i="141"/>
  <c r="G43" i="141"/>
  <c r="B44" i="141"/>
  <c r="G44" i="141"/>
  <c r="B45" i="141"/>
  <c r="G45" i="141"/>
  <c r="B46" i="141"/>
  <c r="G46" i="141"/>
  <c r="B47" i="141"/>
  <c r="G47" i="141"/>
  <c r="B48" i="141"/>
  <c r="G48" i="141"/>
  <c r="B49" i="141"/>
  <c r="G49" i="141"/>
  <c r="B50" i="141"/>
  <c r="G50" i="141"/>
  <c r="B51" i="141"/>
  <c r="G51" i="141"/>
  <c r="B52" i="141"/>
  <c r="G52" i="141"/>
  <c r="B53" i="141"/>
  <c r="G53" i="141"/>
  <c r="B54" i="141"/>
  <c r="G54" i="141"/>
  <c r="B55" i="141"/>
  <c r="G55" i="141"/>
  <c r="B56" i="141"/>
  <c r="G56" i="141"/>
  <c r="B57" i="141"/>
  <c r="G57" i="141"/>
  <c r="B58" i="141"/>
  <c r="G58" i="141"/>
  <c r="B63" i="141"/>
  <c r="C63" i="141"/>
  <c r="D63" i="141"/>
  <c r="E63" i="141"/>
  <c r="B64" i="141"/>
  <c r="C64" i="141"/>
  <c r="D64" i="141"/>
  <c r="E64" i="141"/>
  <c r="B65" i="141"/>
  <c r="C65" i="141"/>
  <c r="D65" i="141"/>
  <c r="E65" i="141"/>
  <c r="B66" i="141"/>
  <c r="C66" i="141"/>
  <c r="D66" i="141"/>
  <c r="E66" i="141"/>
  <c r="B67" i="141"/>
  <c r="C67" i="141"/>
  <c r="D67" i="141"/>
  <c r="E67" i="141"/>
  <c r="B68" i="141"/>
  <c r="C68" i="141"/>
  <c r="D68" i="141"/>
  <c r="E68" i="141"/>
  <c r="B69" i="141"/>
  <c r="C69" i="141"/>
  <c r="D69" i="141"/>
  <c r="E69" i="141"/>
  <c r="B70" i="141"/>
  <c r="C70" i="141"/>
  <c r="D70" i="141"/>
  <c r="E70" i="141"/>
  <c r="B71" i="141"/>
  <c r="C71" i="141"/>
  <c r="D71" i="141"/>
  <c r="E71" i="141"/>
  <c r="B72" i="141"/>
  <c r="C72" i="141"/>
  <c r="D72" i="141"/>
  <c r="E72" i="141"/>
  <c r="B73" i="141"/>
  <c r="C73" i="141"/>
  <c r="D73" i="141"/>
  <c r="E73" i="141"/>
  <c r="B74" i="141"/>
  <c r="C74" i="141"/>
  <c r="D74" i="141"/>
  <c r="E74" i="141"/>
  <c r="B75" i="141"/>
  <c r="C75" i="141"/>
  <c r="D75" i="141"/>
  <c r="E75" i="141"/>
  <c r="B76" i="141"/>
  <c r="C76" i="141"/>
  <c r="D76" i="141"/>
  <c r="E76" i="141"/>
  <c r="B77" i="141"/>
  <c r="C77" i="141"/>
  <c r="D77" i="141"/>
  <c r="E77" i="141"/>
  <c r="B78" i="141"/>
  <c r="C78" i="141"/>
  <c r="D78" i="141"/>
  <c r="E78" i="141"/>
  <c r="B79" i="141"/>
  <c r="C79" i="141"/>
  <c r="D79" i="141"/>
  <c r="E79" i="141"/>
  <c r="B80" i="141"/>
  <c r="C80" i="141"/>
  <c r="D80" i="141"/>
  <c r="E80" i="141"/>
  <c r="B81" i="141"/>
  <c r="C81" i="141"/>
  <c r="D81" i="141"/>
  <c r="E81" i="141"/>
  <c r="B82" i="141"/>
  <c r="C82" i="141"/>
  <c r="D82" i="141"/>
  <c r="E82" i="141"/>
  <c r="B83" i="141"/>
  <c r="C83" i="141"/>
  <c r="D83" i="141"/>
  <c r="E83" i="141"/>
  <c r="B84" i="141"/>
  <c r="C84" i="141"/>
  <c r="D84" i="141"/>
  <c r="E84" i="141"/>
  <c r="B85" i="141"/>
  <c r="C85" i="141"/>
  <c r="D85" i="141"/>
  <c r="E85" i="141"/>
  <c r="B86" i="141"/>
  <c r="C86" i="141"/>
  <c r="D86" i="141"/>
  <c r="E86" i="141"/>
  <c r="B87" i="141"/>
  <c r="C87" i="141"/>
  <c r="D87" i="141"/>
  <c r="E87" i="141"/>
  <c r="C6" i="140"/>
  <c r="E6" i="140"/>
  <c r="C7" i="140"/>
  <c r="E7" i="140"/>
  <c r="C8" i="140"/>
  <c r="E8" i="140"/>
  <c r="C9" i="140"/>
  <c r="E9" i="140"/>
  <c r="C10" i="140"/>
  <c r="E10" i="140"/>
  <c r="C11" i="140"/>
  <c r="E11" i="140"/>
  <c r="C12" i="140"/>
  <c r="E12" i="140"/>
  <c r="C13" i="140"/>
  <c r="E13" i="140"/>
  <c r="C14" i="140"/>
  <c r="E14" i="140"/>
  <c r="C15" i="140"/>
  <c r="E15" i="140"/>
  <c r="C16" i="140"/>
  <c r="E16" i="140"/>
  <c r="C17" i="140"/>
  <c r="E17" i="140"/>
  <c r="C18" i="140"/>
  <c r="E18" i="140"/>
  <c r="C19" i="140"/>
  <c r="E19" i="140"/>
  <c r="C20" i="140"/>
  <c r="E20" i="140"/>
  <c r="C21" i="140"/>
  <c r="E21" i="140"/>
  <c r="C22" i="140"/>
  <c r="E22" i="140"/>
  <c r="C23" i="140"/>
  <c r="E23" i="140"/>
  <c r="C24" i="140"/>
  <c r="E24" i="140"/>
  <c r="C25" i="140"/>
  <c r="E25" i="140"/>
  <c r="C26" i="140"/>
  <c r="E26" i="140"/>
  <c r="C27" i="140"/>
  <c r="E27" i="140"/>
  <c r="C28" i="140"/>
  <c r="E28" i="140"/>
  <c r="C29" i="140"/>
  <c r="E29" i="140"/>
  <c r="C30" i="140"/>
  <c r="E30" i="140"/>
  <c r="C37" i="140"/>
  <c r="E37" i="140"/>
  <c r="C38" i="140"/>
  <c r="E38" i="140"/>
  <c r="C39" i="140"/>
  <c r="E39" i="140"/>
  <c r="C40" i="140"/>
  <c r="E40" i="140"/>
  <c r="C41" i="140"/>
  <c r="E41" i="140"/>
  <c r="C42" i="140"/>
  <c r="E42" i="140"/>
  <c r="C43" i="140"/>
  <c r="E43" i="140"/>
  <c r="C44" i="140"/>
  <c r="E44" i="140"/>
  <c r="C45" i="140"/>
  <c r="E45" i="140"/>
  <c r="C46" i="140"/>
  <c r="E46" i="140"/>
  <c r="C47" i="140"/>
  <c r="E47" i="140"/>
  <c r="C48" i="140"/>
  <c r="E48" i="140"/>
  <c r="C49" i="140"/>
  <c r="E49" i="140"/>
  <c r="C50" i="140"/>
  <c r="E50" i="140"/>
  <c r="C51" i="140"/>
  <c r="E51" i="140"/>
  <c r="C52" i="140"/>
  <c r="E52" i="140"/>
  <c r="C53" i="140"/>
  <c r="E53" i="140"/>
  <c r="C54" i="140"/>
  <c r="E54" i="140"/>
  <c r="C55" i="140"/>
  <c r="E55" i="140"/>
  <c r="C56" i="140"/>
  <c r="E56" i="140"/>
  <c r="C57" i="140"/>
  <c r="E57" i="140"/>
  <c r="C58" i="140"/>
  <c r="E58" i="140"/>
  <c r="C59" i="140"/>
  <c r="E59" i="140"/>
  <c r="C60" i="140"/>
  <c r="E60" i="140"/>
  <c r="C61" i="140"/>
  <c r="E61" i="140"/>
  <c r="C68" i="140"/>
  <c r="D68" i="140"/>
  <c r="E68" i="140"/>
  <c r="C69" i="140"/>
  <c r="D69" i="140"/>
  <c r="E69" i="140"/>
  <c r="C70" i="140"/>
  <c r="D70" i="140"/>
  <c r="E70" i="140"/>
  <c r="C71" i="140"/>
  <c r="D71" i="140"/>
  <c r="E71" i="140"/>
  <c r="C72" i="140"/>
  <c r="D72" i="140"/>
  <c r="E72" i="140"/>
  <c r="C73" i="140"/>
  <c r="D73" i="140"/>
  <c r="E73" i="140"/>
  <c r="C74" i="140"/>
  <c r="D74" i="140"/>
  <c r="E74" i="140"/>
  <c r="C75" i="140"/>
  <c r="D75" i="140"/>
  <c r="E75" i="140"/>
  <c r="C76" i="140"/>
  <c r="D76" i="140"/>
  <c r="E76" i="140"/>
  <c r="C77" i="140"/>
  <c r="D77" i="140"/>
  <c r="E77" i="140"/>
  <c r="C78" i="140"/>
  <c r="D78" i="140"/>
  <c r="E78" i="140"/>
  <c r="C79" i="140"/>
  <c r="D79" i="140"/>
  <c r="E79" i="140"/>
  <c r="C80" i="140"/>
  <c r="D80" i="140"/>
  <c r="E80" i="140"/>
  <c r="C81" i="140"/>
  <c r="D81" i="140"/>
  <c r="E81" i="140"/>
  <c r="C82" i="140"/>
  <c r="D82" i="140"/>
  <c r="E82" i="140"/>
  <c r="C83" i="140"/>
  <c r="D83" i="140"/>
  <c r="E83" i="140"/>
  <c r="C84" i="140"/>
  <c r="D84" i="140"/>
  <c r="E84" i="140"/>
  <c r="C85" i="140"/>
  <c r="D85" i="140"/>
  <c r="E85" i="140"/>
  <c r="C86" i="140"/>
  <c r="D86" i="140"/>
  <c r="E86" i="140"/>
  <c r="C87" i="140"/>
  <c r="D87" i="140"/>
  <c r="E87" i="140"/>
  <c r="C88" i="140"/>
  <c r="D88" i="140"/>
  <c r="E88" i="140"/>
  <c r="C89" i="140"/>
  <c r="D89" i="140"/>
  <c r="E89" i="140"/>
  <c r="C90" i="140"/>
  <c r="D90" i="140"/>
  <c r="E90" i="140"/>
  <c r="C91" i="140"/>
  <c r="D91" i="140"/>
  <c r="E91" i="140"/>
  <c r="C92" i="140"/>
  <c r="D92" i="140"/>
  <c r="E92" i="140"/>
  <c r="B6" i="139"/>
  <c r="D6" i="139"/>
  <c r="B7" i="139"/>
  <c r="D7" i="139"/>
  <c r="B8" i="139"/>
  <c r="D8" i="139"/>
  <c r="B9" i="139"/>
  <c r="D9" i="139"/>
  <c r="B10" i="139"/>
  <c r="D10" i="139"/>
  <c r="B11" i="139"/>
  <c r="D11" i="139"/>
  <c r="B12" i="139"/>
  <c r="D12" i="139"/>
  <c r="B13" i="139"/>
  <c r="D13" i="139"/>
  <c r="B14" i="139"/>
  <c r="D14" i="139"/>
  <c r="B15" i="139"/>
  <c r="D15" i="139"/>
  <c r="B16" i="139"/>
  <c r="D16" i="139"/>
  <c r="B17" i="139"/>
  <c r="D17" i="139"/>
  <c r="B18" i="139"/>
  <c r="D18" i="139"/>
  <c r="B19" i="139"/>
  <c r="D19" i="139"/>
  <c r="B20" i="139"/>
  <c r="D20" i="139"/>
  <c r="B21" i="139"/>
  <c r="D21" i="139"/>
  <c r="B22" i="139"/>
  <c r="D22" i="139"/>
  <c r="B23" i="139"/>
  <c r="D23" i="139"/>
  <c r="B24" i="139"/>
  <c r="D24" i="139"/>
  <c r="B25" i="139"/>
  <c r="D25" i="139"/>
  <c r="B26" i="139"/>
  <c r="D26" i="139"/>
  <c r="B27" i="139"/>
  <c r="D27" i="139"/>
  <c r="B28" i="139"/>
  <c r="D28" i="139"/>
  <c r="B29" i="139"/>
  <c r="D29" i="139"/>
  <c r="B30" i="139"/>
  <c r="D30" i="139"/>
  <c r="B36" i="139"/>
  <c r="D36" i="139"/>
  <c r="B37" i="139"/>
  <c r="D37" i="139"/>
  <c r="B38" i="139"/>
  <c r="D38" i="139"/>
  <c r="B39" i="139"/>
  <c r="D39" i="139"/>
  <c r="B40" i="139"/>
  <c r="D40" i="139"/>
  <c r="B41" i="139"/>
  <c r="D41" i="139"/>
  <c r="B42" i="139"/>
  <c r="D42" i="139"/>
  <c r="B43" i="139"/>
  <c r="D43" i="139"/>
  <c r="B44" i="139"/>
  <c r="D44" i="139"/>
  <c r="B45" i="139"/>
  <c r="D45" i="139"/>
  <c r="B46" i="139"/>
  <c r="D46" i="139"/>
  <c r="B47" i="139"/>
  <c r="D47" i="139"/>
  <c r="B48" i="139"/>
  <c r="D48" i="139"/>
  <c r="B49" i="139"/>
  <c r="D49" i="139"/>
  <c r="B50" i="139"/>
  <c r="D50" i="139"/>
  <c r="B51" i="139"/>
  <c r="D51" i="139"/>
  <c r="B52" i="139"/>
  <c r="D52" i="139"/>
  <c r="B53" i="139"/>
  <c r="D53" i="139"/>
  <c r="B54" i="139"/>
  <c r="D54" i="139"/>
  <c r="B55" i="139"/>
  <c r="D55" i="139"/>
  <c r="B56" i="139"/>
  <c r="D56" i="139"/>
  <c r="B57" i="139"/>
  <c r="D57" i="139"/>
  <c r="B58" i="139"/>
  <c r="D58" i="139"/>
  <c r="B59" i="139"/>
  <c r="D59" i="139"/>
  <c r="B60" i="139"/>
  <c r="D60" i="139"/>
  <c r="B65" i="139"/>
  <c r="D65" i="139"/>
  <c r="B66" i="139"/>
  <c r="D66" i="139"/>
  <c r="B67" i="139"/>
  <c r="D67" i="139"/>
  <c r="B68" i="139"/>
  <c r="D68" i="139"/>
  <c r="B69" i="139"/>
  <c r="D69" i="139"/>
  <c r="B70" i="139"/>
  <c r="D70" i="139"/>
  <c r="B71" i="139"/>
  <c r="D71" i="139"/>
  <c r="B72" i="139"/>
  <c r="D72" i="139"/>
  <c r="B73" i="139"/>
  <c r="D73" i="139"/>
  <c r="B74" i="139"/>
  <c r="D74" i="139"/>
  <c r="B75" i="139"/>
  <c r="D75" i="139"/>
  <c r="B76" i="139"/>
  <c r="D76" i="139"/>
  <c r="B77" i="139"/>
  <c r="D77" i="139"/>
  <c r="B78" i="139"/>
  <c r="D78" i="139"/>
  <c r="B79" i="139"/>
  <c r="D79" i="139"/>
  <c r="B80" i="139"/>
  <c r="D80" i="139"/>
  <c r="B81" i="139"/>
  <c r="D81" i="139"/>
  <c r="B82" i="139"/>
  <c r="D82" i="139"/>
  <c r="B83" i="139"/>
  <c r="D83" i="139"/>
  <c r="B84" i="139"/>
  <c r="D84" i="139"/>
  <c r="B85" i="139"/>
  <c r="D85" i="139"/>
  <c r="B86" i="139"/>
  <c r="D86" i="139"/>
  <c r="B87" i="139"/>
  <c r="D87" i="139"/>
  <c r="B88" i="139"/>
  <c r="D88" i="139"/>
  <c r="B89" i="139"/>
  <c r="D89" i="139"/>
  <c r="B97" i="139"/>
  <c r="D97" i="139"/>
  <c r="B98" i="139"/>
  <c r="D98" i="139"/>
  <c r="B99" i="139"/>
  <c r="D99" i="139"/>
  <c r="B100" i="139"/>
  <c r="D100" i="139"/>
  <c r="B101" i="139"/>
  <c r="D101" i="139"/>
  <c r="B102" i="139"/>
  <c r="D102" i="139"/>
  <c r="B103" i="139"/>
  <c r="D103" i="139"/>
  <c r="B104" i="139"/>
  <c r="D104" i="139"/>
  <c r="B105" i="139"/>
  <c r="D105" i="139"/>
  <c r="B106" i="139"/>
  <c r="D106" i="139"/>
  <c r="B107" i="139"/>
  <c r="D107" i="139"/>
  <c r="B108" i="139"/>
  <c r="D108" i="139"/>
  <c r="B109" i="139"/>
  <c r="D109" i="139"/>
  <c r="B110" i="139"/>
  <c r="D110" i="139"/>
  <c r="B111" i="139"/>
  <c r="D111" i="139"/>
  <c r="B112" i="139"/>
  <c r="D112" i="139"/>
  <c r="B113" i="139"/>
  <c r="D113" i="139"/>
  <c r="B114" i="139"/>
  <c r="D114" i="139"/>
  <c r="B115" i="139"/>
  <c r="D115" i="139"/>
  <c r="B116" i="139"/>
  <c r="D116" i="139"/>
  <c r="B117" i="139"/>
  <c r="D117" i="139"/>
  <c r="B118" i="139"/>
  <c r="D118" i="139"/>
  <c r="B119" i="139"/>
  <c r="D119" i="139"/>
  <c r="B120" i="139"/>
  <c r="D120" i="139"/>
  <c r="B121" i="139"/>
  <c r="D121" i="139"/>
  <c r="B127" i="139"/>
  <c r="D127" i="139"/>
  <c r="B128" i="139"/>
  <c r="D128" i="139"/>
  <c r="B129" i="139"/>
  <c r="D129" i="139"/>
  <c r="B130" i="139"/>
  <c r="D130" i="139"/>
  <c r="B131" i="139"/>
  <c r="D131" i="139"/>
  <c r="B132" i="139"/>
  <c r="D132" i="139"/>
  <c r="B133" i="139"/>
  <c r="D133" i="139"/>
  <c r="B134" i="139"/>
  <c r="D134" i="139"/>
  <c r="B135" i="139"/>
  <c r="D135" i="139"/>
  <c r="B136" i="139"/>
  <c r="D136" i="139"/>
  <c r="B137" i="139"/>
  <c r="D137" i="139"/>
  <c r="B138" i="139"/>
  <c r="D138" i="139"/>
  <c r="B139" i="139"/>
  <c r="D139" i="139"/>
  <c r="B140" i="139"/>
  <c r="D140" i="139"/>
  <c r="B141" i="139"/>
  <c r="D141" i="139"/>
  <c r="B142" i="139"/>
  <c r="D142" i="139"/>
  <c r="B143" i="139"/>
  <c r="D143" i="139"/>
  <c r="B144" i="139"/>
  <c r="D144" i="139"/>
  <c r="B145" i="139"/>
  <c r="D145" i="139"/>
  <c r="B146" i="139"/>
  <c r="D146" i="139"/>
  <c r="B147" i="139"/>
  <c r="D147" i="139"/>
  <c r="B148" i="139"/>
  <c r="D148" i="139"/>
  <c r="B149" i="139"/>
  <c r="D149" i="139"/>
  <c r="B150" i="139"/>
  <c r="D150" i="139"/>
  <c r="B151" i="139"/>
  <c r="D151" i="139"/>
  <c r="B156" i="139"/>
  <c r="D156" i="139"/>
  <c r="B157" i="139"/>
  <c r="D157" i="139"/>
  <c r="B158" i="139"/>
  <c r="D158" i="139"/>
  <c r="B159" i="139"/>
  <c r="D159" i="139"/>
  <c r="B160" i="139"/>
  <c r="D160" i="139"/>
  <c r="B161" i="139"/>
  <c r="D161" i="139"/>
  <c r="B162" i="139"/>
  <c r="D162" i="139"/>
  <c r="B163" i="139"/>
  <c r="D163" i="139"/>
  <c r="B164" i="139"/>
  <c r="D164" i="139"/>
  <c r="B165" i="139"/>
  <c r="D165" i="139"/>
  <c r="B166" i="139"/>
  <c r="D166" i="139"/>
  <c r="B167" i="139"/>
  <c r="D167" i="139"/>
  <c r="B168" i="139"/>
  <c r="D168" i="139"/>
  <c r="B169" i="139"/>
  <c r="D169" i="139"/>
  <c r="B170" i="139"/>
  <c r="D170" i="139"/>
  <c r="B171" i="139"/>
  <c r="D171" i="139"/>
  <c r="B172" i="139"/>
  <c r="D172" i="139"/>
  <c r="B173" i="139"/>
  <c r="D173" i="139"/>
  <c r="B174" i="139"/>
  <c r="D174" i="139"/>
  <c r="B175" i="139"/>
  <c r="D175" i="139"/>
  <c r="B176" i="139"/>
  <c r="D176" i="139"/>
  <c r="B177" i="139"/>
  <c r="D177" i="139"/>
  <c r="B178" i="139"/>
  <c r="D178" i="139"/>
  <c r="B179" i="139"/>
  <c r="D179" i="139"/>
  <c r="B180" i="139"/>
  <c r="D180" i="139"/>
  <c r="B7" i="138"/>
  <c r="D7" i="138"/>
  <c r="B8" i="138"/>
  <c r="D8" i="138"/>
  <c r="B9" i="138"/>
  <c r="D9" i="138"/>
  <c r="B10" i="138"/>
  <c r="D10" i="138"/>
  <c r="B11" i="138"/>
  <c r="D11" i="138"/>
  <c r="B12" i="138"/>
  <c r="D12" i="138"/>
  <c r="B13" i="138"/>
  <c r="D13" i="138"/>
  <c r="B14" i="138"/>
  <c r="D14" i="138"/>
  <c r="B15" i="138"/>
  <c r="D15" i="138"/>
  <c r="B16" i="138"/>
  <c r="D16" i="138"/>
  <c r="B17" i="138"/>
  <c r="D17" i="138"/>
  <c r="B18" i="138"/>
  <c r="D18" i="138"/>
  <c r="B19" i="138"/>
  <c r="D19" i="138"/>
  <c r="B20" i="138"/>
  <c r="D20" i="138"/>
  <c r="B21" i="138"/>
  <c r="D21" i="138"/>
  <c r="B22" i="138"/>
  <c r="D22" i="138"/>
  <c r="B23" i="138"/>
  <c r="D23" i="138"/>
  <c r="B24" i="138"/>
  <c r="D24" i="138"/>
  <c r="B25" i="138"/>
  <c r="D25" i="138"/>
  <c r="B26" i="138"/>
  <c r="D26" i="138"/>
  <c r="B27" i="138"/>
  <c r="D27" i="138"/>
  <c r="B28" i="138"/>
  <c r="D28" i="138"/>
  <c r="B29" i="138"/>
  <c r="D29" i="138"/>
  <c r="B30" i="138"/>
  <c r="D30" i="138"/>
  <c r="B31" i="138"/>
  <c r="D31" i="138"/>
  <c r="B36" i="138"/>
  <c r="D36" i="138"/>
  <c r="B37" i="138"/>
  <c r="D37" i="138"/>
  <c r="B38" i="138"/>
  <c r="D38" i="138"/>
  <c r="B39" i="138"/>
  <c r="D39" i="138"/>
  <c r="B40" i="138"/>
  <c r="D40" i="138"/>
  <c r="B41" i="138"/>
  <c r="D41" i="138"/>
  <c r="B42" i="138"/>
  <c r="D42" i="138"/>
  <c r="B43" i="138"/>
  <c r="D43" i="138"/>
  <c r="B44" i="138"/>
  <c r="D44" i="138"/>
  <c r="B45" i="138"/>
  <c r="D45" i="138"/>
  <c r="B46" i="138"/>
  <c r="D46" i="138"/>
  <c r="B47" i="138"/>
  <c r="D47" i="138"/>
  <c r="B48" i="138"/>
  <c r="D48" i="138"/>
  <c r="B49" i="138"/>
  <c r="D49" i="138"/>
  <c r="B50" i="138"/>
  <c r="D50" i="138"/>
  <c r="B51" i="138"/>
  <c r="D51" i="138"/>
  <c r="B52" i="138"/>
  <c r="D52" i="138"/>
  <c r="B53" i="138"/>
  <c r="D53" i="138"/>
  <c r="B54" i="138"/>
  <c r="D54" i="138"/>
  <c r="B55" i="138"/>
  <c r="D55" i="138"/>
  <c r="B56" i="138"/>
  <c r="D56" i="138"/>
  <c r="B57" i="138"/>
  <c r="D57" i="138"/>
  <c r="B58" i="138"/>
  <c r="D58" i="138"/>
  <c r="B59" i="138"/>
  <c r="D59" i="138"/>
  <c r="B60" i="138"/>
  <c r="D60" i="138"/>
  <c r="B66" i="138"/>
  <c r="D66" i="138"/>
  <c r="B67" i="138"/>
  <c r="D67" i="138"/>
  <c r="B68" i="138"/>
  <c r="D68" i="138"/>
  <c r="B69" i="138"/>
  <c r="D69" i="138"/>
  <c r="B70" i="138"/>
  <c r="D70" i="138"/>
  <c r="B71" i="138"/>
  <c r="D71" i="138"/>
  <c r="B72" i="138"/>
  <c r="D72" i="138"/>
  <c r="B73" i="138"/>
  <c r="D73" i="138"/>
  <c r="B74" i="138"/>
  <c r="D74" i="138"/>
  <c r="B75" i="138"/>
  <c r="D75" i="138"/>
  <c r="B76" i="138"/>
  <c r="D76" i="138"/>
  <c r="B77" i="138"/>
  <c r="D77" i="138"/>
  <c r="B78" i="138"/>
  <c r="D78" i="138"/>
  <c r="B79" i="138"/>
  <c r="D79" i="138"/>
  <c r="B80" i="138"/>
  <c r="D80" i="138"/>
  <c r="B81" i="138"/>
  <c r="D81" i="138"/>
  <c r="B82" i="138"/>
  <c r="D82" i="138"/>
  <c r="B83" i="138"/>
  <c r="D83" i="138"/>
  <c r="B84" i="138"/>
  <c r="D84" i="138"/>
  <c r="B85" i="138"/>
  <c r="D85" i="138"/>
  <c r="B86" i="138"/>
  <c r="D86" i="138"/>
  <c r="B87" i="138"/>
  <c r="D87" i="138"/>
  <c r="B88" i="138"/>
  <c r="D88" i="138"/>
  <c r="B89" i="138"/>
  <c r="D89" i="138"/>
  <c r="B90" i="138"/>
  <c r="D90" i="138"/>
  <c r="B96" i="138"/>
  <c r="D96" i="138"/>
  <c r="B97" i="138"/>
  <c r="D97" i="138"/>
  <c r="B98" i="138"/>
  <c r="D98" i="138"/>
  <c r="B99" i="138"/>
  <c r="D99" i="138"/>
  <c r="B100" i="138"/>
  <c r="D100" i="138"/>
  <c r="B101" i="138"/>
  <c r="D101" i="138"/>
  <c r="B102" i="138"/>
  <c r="D102" i="138"/>
  <c r="B103" i="138"/>
  <c r="D103" i="138"/>
  <c r="B104" i="138"/>
  <c r="D104" i="138"/>
  <c r="B105" i="138"/>
  <c r="D105" i="138"/>
  <c r="B106" i="138"/>
  <c r="D106" i="138"/>
  <c r="B107" i="138"/>
  <c r="D107" i="138"/>
  <c r="B108" i="138"/>
  <c r="D108" i="138"/>
  <c r="B109" i="138"/>
  <c r="D109" i="138"/>
  <c r="B110" i="138"/>
  <c r="D110" i="138"/>
  <c r="B111" i="138"/>
  <c r="D111" i="138"/>
  <c r="B112" i="138"/>
  <c r="D112" i="138"/>
  <c r="B113" i="138"/>
  <c r="D113" i="138"/>
  <c r="B114" i="138"/>
  <c r="D114" i="138"/>
  <c r="B115" i="138"/>
  <c r="D115" i="138"/>
  <c r="B116" i="138"/>
  <c r="D116" i="138"/>
  <c r="B117" i="138"/>
  <c r="D117" i="138"/>
  <c r="B118" i="138"/>
  <c r="D118" i="138"/>
  <c r="B119" i="138"/>
  <c r="D119" i="138"/>
  <c r="B120" i="138"/>
  <c r="D120" i="138"/>
  <c r="B125" i="138"/>
  <c r="D125" i="138"/>
  <c r="B126" i="138"/>
  <c r="D126" i="138"/>
  <c r="B127" i="138"/>
  <c r="D127" i="138"/>
  <c r="B128" i="138"/>
  <c r="D128" i="138"/>
  <c r="B129" i="138"/>
  <c r="D129" i="138"/>
  <c r="B130" i="138"/>
  <c r="D130" i="138"/>
  <c r="B131" i="138"/>
  <c r="D131" i="138"/>
  <c r="B132" i="138"/>
  <c r="D132" i="138"/>
  <c r="B133" i="138"/>
  <c r="D133" i="138"/>
  <c r="B134" i="138"/>
  <c r="D134" i="138"/>
  <c r="B135" i="138"/>
  <c r="D135" i="138"/>
  <c r="B136" i="138"/>
  <c r="D136" i="138"/>
  <c r="B137" i="138"/>
  <c r="D137" i="138"/>
  <c r="B138" i="138"/>
  <c r="D138" i="138"/>
  <c r="B139" i="138"/>
  <c r="D139" i="138"/>
  <c r="B140" i="138"/>
  <c r="D140" i="138"/>
  <c r="B141" i="138"/>
  <c r="D141" i="138"/>
  <c r="B142" i="138"/>
  <c r="D142" i="138"/>
  <c r="B143" i="138"/>
  <c r="D143" i="138"/>
  <c r="B144" i="138"/>
  <c r="D144" i="138"/>
  <c r="B145" i="138"/>
  <c r="D145" i="138"/>
  <c r="B146" i="138"/>
  <c r="D146" i="138"/>
  <c r="B147" i="138"/>
  <c r="D147" i="138"/>
  <c r="B148" i="138"/>
  <c r="D148" i="138"/>
  <c r="B149" i="138"/>
  <c r="D149" i="138"/>
  <c r="B154" i="138"/>
  <c r="D154" i="138"/>
  <c r="B155" i="138"/>
  <c r="D155" i="138"/>
  <c r="B156" i="138"/>
  <c r="D156" i="138"/>
  <c r="B157" i="138"/>
  <c r="D157" i="138"/>
  <c r="B158" i="138"/>
  <c r="D158" i="138"/>
  <c r="B159" i="138"/>
  <c r="D159" i="138"/>
  <c r="B160" i="138"/>
  <c r="D160" i="138"/>
  <c r="B161" i="138"/>
  <c r="D161" i="138"/>
  <c r="B162" i="138"/>
  <c r="D162" i="138"/>
  <c r="B163" i="138"/>
  <c r="D163" i="138"/>
  <c r="B164" i="138"/>
  <c r="D164" i="138"/>
  <c r="B165" i="138"/>
  <c r="D165" i="138"/>
  <c r="B166" i="138"/>
  <c r="D166" i="138"/>
  <c r="B167" i="138"/>
  <c r="D167" i="138"/>
  <c r="B168" i="138"/>
  <c r="D168" i="138"/>
  <c r="B169" i="138"/>
  <c r="D169" i="138"/>
  <c r="B170" i="138"/>
  <c r="D170" i="138"/>
  <c r="B171" i="138"/>
  <c r="D171" i="138"/>
  <c r="B172" i="138"/>
  <c r="D172" i="138"/>
  <c r="B173" i="138"/>
  <c r="D173" i="138"/>
  <c r="B174" i="138"/>
  <c r="D174" i="138"/>
  <c r="B175" i="138"/>
  <c r="D175" i="138"/>
  <c r="B176" i="138"/>
  <c r="D176" i="138"/>
  <c r="B177" i="138"/>
  <c r="D177" i="138"/>
  <c r="B178" i="138"/>
  <c r="D178" i="138"/>
  <c r="B184" i="138"/>
  <c r="C184" i="138"/>
  <c r="E184" i="138"/>
  <c r="B185" i="138"/>
  <c r="C185" i="138"/>
  <c r="E185" i="138"/>
  <c r="B186" i="138"/>
  <c r="C186" i="138"/>
  <c r="E186" i="138"/>
  <c r="B187" i="138"/>
  <c r="C187" i="138"/>
  <c r="E187" i="138"/>
  <c r="B188" i="138"/>
  <c r="C188" i="138"/>
  <c r="E188" i="138"/>
  <c r="B189" i="138"/>
  <c r="C189" i="138"/>
  <c r="E189" i="138"/>
  <c r="B190" i="138"/>
  <c r="C190" i="138"/>
  <c r="E190" i="138"/>
  <c r="B191" i="138"/>
  <c r="C191" i="138"/>
  <c r="E191" i="138"/>
  <c r="B192" i="138"/>
  <c r="C192" i="138"/>
  <c r="E192" i="138"/>
  <c r="B193" i="138"/>
  <c r="C193" i="138"/>
  <c r="E193" i="138"/>
  <c r="B194" i="138"/>
  <c r="C194" i="138"/>
  <c r="E194" i="138"/>
  <c r="B195" i="138"/>
  <c r="C195" i="138"/>
  <c r="E195" i="138"/>
  <c r="B196" i="138"/>
  <c r="C196" i="138"/>
  <c r="E196" i="138"/>
  <c r="B197" i="138"/>
  <c r="C197" i="138"/>
  <c r="E197" i="138"/>
  <c r="B198" i="138"/>
  <c r="C198" i="138"/>
  <c r="E198" i="138"/>
  <c r="B199" i="138"/>
  <c r="C199" i="138"/>
  <c r="E199" i="138"/>
  <c r="B200" i="138"/>
  <c r="C200" i="138"/>
  <c r="E200" i="138"/>
  <c r="B201" i="138"/>
  <c r="C201" i="138"/>
  <c r="E201" i="138"/>
  <c r="B202" i="138"/>
  <c r="C202" i="138"/>
  <c r="E202" i="138"/>
  <c r="B203" i="138"/>
  <c r="C203" i="138"/>
  <c r="E203" i="138"/>
  <c r="B204" i="138"/>
  <c r="C204" i="138"/>
  <c r="E204" i="138"/>
  <c r="B205" i="138"/>
  <c r="C205" i="138"/>
  <c r="E205" i="138"/>
  <c r="B206" i="138"/>
  <c r="C206" i="138"/>
  <c r="E206" i="138"/>
  <c r="B207" i="138"/>
  <c r="C207" i="138"/>
  <c r="E207" i="138"/>
  <c r="B208" i="138"/>
  <c r="C208" i="138"/>
  <c r="E208" i="138"/>
  <c r="B213" i="138"/>
  <c r="C213" i="138"/>
  <c r="E213" i="138"/>
  <c r="B214" i="138"/>
  <c r="C214" i="138"/>
  <c r="E214" i="138"/>
  <c r="B215" i="138"/>
  <c r="C215" i="138"/>
  <c r="E215" i="138"/>
  <c r="B216" i="138"/>
  <c r="C216" i="138"/>
  <c r="E216" i="138"/>
  <c r="B217" i="138"/>
  <c r="C217" i="138"/>
  <c r="E217" i="138"/>
  <c r="B218" i="138"/>
  <c r="C218" i="138"/>
  <c r="E218" i="138"/>
  <c r="B219" i="138"/>
  <c r="C219" i="138"/>
  <c r="E219" i="138"/>
  <c r="B220" i="138"/>
  <c r="C220" i="138"/>
  <c r="E220" i="138"/>
  <c r="B221" i="138"/>
  <c r="C221" i="138"/>
  <c r="E221" i="138"/>
  <c r="B222" i="138"/>
  <c r="C222" i="138"/>
  <c r="E222" i="138"/>
  <c r="B223" i="138"/>
  <c r="C223" i="138"/>
  <c r="E223" i="138"/>
  <c r="B224" i="138"/>
  <c r="C224" i="138"/>
  <c r="E224" i="138"/>
  <c r="B225" i="138"/>
  <c r="C225" i="138"/>
  <c r="E225" i="138"/>
  <c r="B226" i="138"/>
  <c r="C226" i="138"/>
  <c r="E226" i="138"/>
  <c r="B227" i="138"/>
  <c r="C227" i="138"/>
  <c r="E227" i="138"/>
  <c r="B228" i="138"/>
  <c r="C228" i="138"/>
  <c r="E228" i="138"/>
  <c r="B229" i="138"/>
  <c r="C229" i="138"/>
  <c r="E229" i="138"/>
  <c r="B230" i="138"/>
  <c r="C230" i="138"/>
  <c r="E230" i="138"/>
  <c r="B231" i="138"/>
  <c r="C231" i="138"/>
  <c r="E231" i="138"/>
  <c r="B232" i="138"/>
  <c r="C232" i="138"/>
  <c r="E232" i="138"/>
  <c r="B233" i="138"/>
  <c r="C233" i="138"/>
  <c r="E233" i="138"/>
  <c r="B234" i="138"/>
  <c r="C234" i="138"/>
  <c r="E234" i="138"/>
  <c r="B235" i="138"/>
  <c r="C235" i="138"/>
  <c r="E235" i="138"/>
  <c r="B236" i="138"/>
  <c r="C236" i="138"/>
  <c r="E236" i="138"/>
  <c r="B237" i="138"/>
  <c r="C237" i="138"/>
  <c r="E237" i="138"/>
  <c r="B2" i="137"/>
  <c r="B3" i="137"/>
  <c r="B4" i="137"/>
  <c r="B5" i="137"/>
  <c r="B6" i="137"/>
  <c r="B7" i="137"/>
  <c r="B8" i="137"/>
  <c r="B9" i="137"/>
  <c r="B10" i="137"/>
  <c r="B11" i="137"/>
  <c r="B12" i="137"/>
  <c r="B13" i="137"/>
  <c r="B14" i="137"/>
  <c r="B15" i="137"/>
  <c r="B16" i="137"/>
  <c r="B17" i="137"/>
  <c r="B18" i="137"/>
  <c r="B19" i="137"/>
  <c r="B20" i="137"/>
  <c r="B21" i="137"/>
  <c r="B22" i="137"/>
  <c r="B23" i="137"/>
  <c r="B24" i="137"/>
  <c r="B25" i="137"/>
  <c r="B26" i="137"/>
  <c r="B5" i="134"/>
  <c r="F5" i="134"/>
  <c r="B6" i="134"/>
  <c r="F6" i="134"/>
  <c r="B7" i="134"/>
  <c r="F7" i="134"/>
  <c r="B8" i="134"/>
  <c r="F8" i="134"/>
  <c r="B9" i="134"/>
  <c r="F9" i="134"/>
  <c r="B10" i="134"/>
  <c r="F10" i="134"/>
  <c r="B11" i="134"/>
  <c r="F11" i="134"/>
  <c r="B12" i="134"/>
  <c r="F12" i="134"/>
  <c r="B13" i="134"/>
  <c r="F13" i="134"/>
  <c r="B14" i="134"/>
  <c r="F14" i="134"/>
  <c r="B15" i="134"/>
  <c r="F15" i="134"/>
  <c r="B16" i="134"/>
  <c r="F16" i="134"/>
  <c r="B17" i="134"/>
  <c r="F17" i="134"/>
  <c r="B18" i="134"/>
  <c r="F18" i="134"/>
  <c r="B19" i="134"/>
  <c r="F19" i="134"/>
  <c r="B20" i="134"/>
  <c r="F20" i="134"/>
  <c r="B21" i="134"/>
  <c r="F21" i="134"/>
  <c r="B22" i="134"/>
  <c r="F22" i="134"/>
  <c r="B23" i="134"/>
  <c r="F23" i="134"/>
  <c r="B24" i="134"/>
  <c r="F24" i="134"/>
  <c r="B25" i="134"/>
  <c r="F25" i="134"/>
  <c r="B26" i="134"/>
  <c r="F26" i="134"/>
  <c r="B27" i="134"/>
  <c r="F27" i="134"/>
  <c r="B28" i="134"/>
  <c r="F28" i="134"/>
  <c r="B29" i="134"/>
  <c r="F29" i="134"/>
  <c r="B34" i="134"/>
  <c r="G34" i="134"/>
  <c r="B35" i="134"/>
  <c r="G35" i="134"/>
  <c r="B36" i="134"/>
  <c r="G36" i="134"/>
  <c r="B37" i="134"/>
  <c r="G37" i="134"/>
  <c r="B38" i="134"/>
  <c r="G38" i="134"/>
  <c r="B39" i="134"/>
  <c r="G39" i="134"/>
  <c r="B40" i="134"/>
  <c r="G40" i="134"/>
  <c r="B41" i="134"/>
  <c r="G41" i="134"/>
  <c r="B42" i="134"/>
  <c r="G42" i="134"/>
  <c r="B43" i="134"/>
  <c r="G43" i="134"/>
  <c r="B44" i="134"/>
  <c r="G44" i="134"/>
  <c r="B45" i="134"/>
  <c r="G45" i="134"/>
  <c r="B46" i="134"/>
  <c r="G46" i="134"/>
  <c r="B47" i="134"/>
  <c r="G47" i="134"/>
  <c r="B48" i="134"/>
  <c r="G48" i="134"/>
  <c r="B49" i="134"/>
  <c r="G49" i="134"/>
  <c r="B50" i="134"/>
  <c r="G50" i="134"/>
  <c r="B51" i="134"/>
  <c r="G51" i="134"/>
  <c r="B52" i="134"/>
  <c r="G52" i="134"/>
  <c r="B53" i="134"/>
  <c r="G53" i="134"/>
  <c r="B54" i="134"/>
  <c r="G54" i="134"/>
  <c r="B55" i="134"/>
  <c r="G55" i="134"/>
  <c r="B56" i="134"/>
  <c r="G56" i="134"/>
  <c r="B57" i="134"/>
  <c r="G57" i="134"/>
  <c r="B58" i="134"/>
  <c r="G58" i="134"/>
  <c r="B63" i="134"/>
  <c r="C63" i="134"/>
  <c r="D63" i="134"/>
  <c r="E63" i="134"/>
  <c r="B64" i="134"/>
  <c r="C64" i="134"/>
  <c r="D64" i="134"/>
  <c r="E64" i="134"/>
  <c r="B65" i="134"/>
  <c r="C65" i="134"/>
  <c r="D65" i="134"/>
  <c r="E65" i="134"/>
  <c r="B66" i="134"/>
  <c r="C66" i="134"/>
  <c r="D66" i="134"/>
  <c r="E66" i="134"/>
  <c r="B67" i="134"/>
  <c r="C67" i="134"/>
  <c r="D67" i="134"/>
  <c r="E67" i="134"/>
  <c r="B68" i="134"/>
  <c r="C68" i="134"/>
  <c r="D68" i="134"/>
  <c r="E68" i="134"/>
  <c r="B69" i="134"/>
  <c r="C69" i="134"/>
  <c r="D69" i="134"/>
  <c r="E69" i="134"/>
  <c r="B70" i="134"/>
  <c r="C70" i="134"/>
  <c r="D70" i="134"/>
  <c r="E70" i="134"/>
  <c r="B71" i="134"/>
  <c r="C71" i="134"/>
  <c r="D71" i="134"/>
  <c r="E71" i="134"/>
  <c r="B72" i="134"/>
  <c r="C72" i="134"/>
  <c r="D72" i="134"/>
  <c r="E72" i="134"/>
  <c r="B73" i="134"/>
  <c r="C73" i="134"/>
  <c r="D73" i="134"/>
  <c r="E73" i="134"/>
  <c r="B74" i="134"/>
  <c r="C74" i="134"/>
  <c r="D74" i="134"/>
  <c r="E74" i="134"/>
  <c r="B75" i="134"/>
  <c r="C75" i="134"/>
  <c r="D75" i="134"/>
  <c r="E75" i="134"/>
  <c r="B76" i="134"/>
  <c r="C76" i="134"/>
  <c r="D76" i="134"/>
  <c r="E76" i="134"/>
  <c r="B77" i="134"/>
  <c r="C77" i="134"/>
  <c r="D77" i="134"/>
  <c r="E77" i="134"/>
  <c r="B78" i="134"/>
  <c r="C78" i="134"/>
  <c r="D78" i="134"/>
  <c r="E78" i="134"/>
  <c r="B79" i="134"/>
  <c r="C79" i="134"/>
  <c r="D79" i="134"/>
  <c r="E79" i="134"/>
  <c r="B80" i="134"/>
  <c r="C80" i="134"/>
  <c r="D80" i="134"/>
  <c r="E80" i="134"/>
  <c r="B81" i="134"/>
  <c r="C81" i="134"/>
  <c r="D81" i="134"/>
  <c r="E81" i="134"/>
  <c r="B82" i="134"/>
  <c r="C82" i="134"/>
  <c r="D82" i="134"/>
  <c r="E82" i="134"/>
  <c r="B83" i="134"/>
  <c r="C83" i="134"/>
  <c r="D83" i="134"/>
  <c r="E83" i="134"/>
  <c r="B84" i="134"/>
  <c r="C84" i="134"/>
  <c r="D84" i="134"/>
  <c r="E84" i="134"/>
  <c r="B85" i="134"/>
  <c r="C85" i="134"/>
  <c r="D85" i="134"/>
  <c r="E85" i="134"/>
  <c r="B86" i="134"/>
  <c r="C86" i="134"/>
  <c r="D86" i="134"/>
  <c r="E86" i="134"/>
  <c r="B87" i="134"/>
  <c r="C87" i="134"/>
  <c r="D87" i="134"/>
  <c r="E87" i="134"/>
  <c r="C6" i="133"/>
  <c r="E6" i="133"/>
  <c r="C7" i="133"/>
  <c r="E7" i="133"/>
  <c r="C8" i="133"/>
  <c r="E8" i="133"/>
  <c r="C9" i="133"/>
  <c r="E9" i="133"/>
  <c r="C10" i="133"/>
  <c r="E10" i="133"/>
  <c r="C11" i="133"/>
  <c r="E11" i="133"/>
  <c r="C12" i="133"/>
  <c r="E12" i="133"/>
  <c r="C13" i="133"/>
  <c r="E13" i="133"/>
  <c r="C14" i="133"/>
  <c r="E14" i="133"/>
  <c r="C15" i="133"/>
  <c r="E15" i="133"/>
  <c r="C16" i="133"/>
  <c r="E16" i="133"/>
  <c r="C17" i="133"/>
  <c r="E17" i="133"/>
  <c r="C18" i="133"/>
  <c r="E18" i="133"/>
  <c r="C19" i="133"/>
  <c r="E19" i="133"/>
  <c r="C20" i="133"/>
  <c r="E20" i="133"/>
  <c r="C21" i="133"/>
  <c r="E21" i="133"/>
  <c r="C22" i="133"/>
  <c r="E22" i="133"/>
  <c r="C23" i="133"/>
  <c r="E23" i="133"/>
  <c r="C24" i="133"/>
  <c r="E24" i="133"/>
  <c r="C25" i="133"/>
  <c r="E25" i="133"/>
  <c r="C26" i="133"/>
  <c r="E26" i="133"/>
  <c r="C27" i="133"/>
  <c r="E27" i="133"/>
  <c r="C28" i="133"/>
  <c r="E28" i="133"/>
  <c r="C29" i="133"/>
  <c r="E29" i="133"/>
  <c r="C30" i="133"/>
  <c r="E30" i="133"/>
  <c r="C37" i="133"/>
  <c r="E37" i="133"/>
  <c r="C38" i="133"/>
  <c r="E38" i="133"/>
  <c r="C39" i="133"/>
  <c r="E39" i="133"/>
  <c r="C40" i="133"/>
  <c r="E40" i="133"/>
  <c r="C41" i="133"/>
  <c r="E41" i="133"/>
  <c r="C42" i="133"/>
  <c r="E42" i="133"/>
  <c r="C43" i="133"/>
  <c r="E43" i="133"/>
  <c r="C44" i="133"/>
  <c r="E44" i="133"/>
  <c r="C45" i="133"/>
  <c r="E45" i="133"/>
  <c r="C46" i="133"/>
  <c r="E46" i="133"/>
  <c r="C47" i="133"/>
  <c r="E47" i="133"/>
  <c r="C48" i="133"/>
  <c r="E48" i="133"/>
  <c r="C49" i="133"/>
  <c r="E49" i="133"/>
  <c r="C50" i="133"/>
  <c r="E50" i="133"/>
  <c r="C51" i="133"/>
  <c r="E51" i="133"/>
  <c r="C52" i="133"/>
  <c r="E52" i="133"/>
  <c r="C53" i="133"/>
  <c r="E53" i="133"/>
  <c r="C54" i="133"/>
  <c r="E54" i="133"/>
  <c r="C55" i="133"/>
  <c r="E55" i="133"/>
  <c r="C56" i="133"/>
  <c r="E56" i="133"/>
  <c r="C57" i="133"/>
  <c r="E57" i="133"/>
  <c r="C58" i="133"/>
  <c r="E58" i="133"/>
  <c r="C59" i="133"/>
  <c r="E59" i="133"/>
  <c r="C60" i="133"/>
  <c r="E60" i="133"/>
  <c r="C61" i="133"/>
  <c r="E61" i="133"/>
  <c r="C68" i="133"/>
  <c r="D68" i="133"/>
  <c r="E68" i="133"/>
  <c r="C69" i="133"/>
  <c r="D69" i="133"/>
  <c r="E69" i="133"/>
  <c r="C70" i="133"/>
  <c r="D70" i="133"/>
  <c r="E70" i="133"/>
  <c r="C71" i="133"/>
  <c r="D71" i="133"/>
  <c r="E71" i="133"/>
  <c r="C72" i="133"/>
  <c r="D72" i="133"/>
  <c r="E72" i="133"/>
  <c r="C73" i="133"/>
  <c r="D73" i="133"/>
  <c r="E73" i="133"/>
  <c r="C74" i="133"/>
  <c r="D74" i="133"/>
  <c r="E74" i="133"/>
  <c r="C75" i="133"/>
  <c r="D75" i="133"/>
  <c r="E75" i="133"/>
  <c r="C76" i="133"/>
  <c r="D76" i="133"/>
  <c r="E76" i="133"/>
  <c r="C77" i="133"/>
  <c r="D77" i="133"/>
  <c r="E77" i="133"/>
  <c r="C78" i="133"/>
  <c r="D78" i="133"/>
  <c r="E78" i="133"/>
  <c r="C79" i="133"/>
  <c r="D79" i="133"/>
  <c r="E79" i="133"/>
  <c r="C80" i="133"/>
  <c r="D80" i="133"/>
  <c r="E80" i="133"/>
  <c r="C81" i="133"/>
  <c r="D81" i="133"/>
  <c r="E81" i="133"/>
  <c r="C82" i="133"/>
  <c r="D82" i="133"/>
  <c r="E82" i="133"/>
  <c r="C83" i="133"/>
  <c r="D83" i="133"/>
  <c r="E83" i="133"/>
  <c r="C84" i="133"/>
  <c r="D84" i="133"/>
  <c r="E84" i="133"/>
  <c r="C85" i="133"/>
  <c r="D85" i="133"/>
  <c r="E85" i="133"/>
  <c r="C86" i="133"/>
  <c r="D86" i="133"/>
  <c r="E86" i="133"/>
  <c r="C87" i="133"/>
  <c r="D87" i="133"/>
  <c r="E87" i="133"/>
  <c r="C88" i="133"/>
  <c r="D88" i="133"/>
  <c r="E88" i="133"/>
  <c r="C89" i="133"/>
  <c r="D89" i="133"/>
  <c r="E89" i="133"/>
  <c r="C90" i="133"/>
  <c r="D90" i="133"/>
  <c r="E90" i="133"/>
  <c r="C91" i="133"/>
  <c r="D91" i="133"/>
  <c r="E91" i="133"/>
  <c r="C92" i="133"/>
  <c r="D92" i="133"/>
  <c r="E92" i="133"/>
  <c r="B6" i="132"/>
  <c r="D6" i="132"/>
  <c r="B7" i="132"/>
  <c r="D7" i="132"/>
  <c r="B8" i="132"/>
  <c r="D8" i="132"/>
  <c r="B9" i="132"/>
  <c r="D9" i="132"/>
  <c r="B10" i="132"/>
  <c r="D10" i="132"/>
  <c r="B11" i="132"/>
  <c r="D11" i="132"/>
  <c r="B12" i="132"/>
  <c r="D12" i="132"/>
  <c r="B13" i="132"/>
  <c r="D13" i="132"/>
  <c r="B14" i="132"/>
  <c r="D14" i="132"/>
  <c r="B15" i="132"/>
  <c r="D15" i="132"/>
  <c r="B16" i="132"/>
  <c r="D16" i="132"/>
  <c r="B17" i="132"/>
  <c r="D17" i="132"/>
  <c r="B18" i="132"/>
  <c r="D18" i="132"/>
  <c r="B19" i="132"/>
  <c r="D19" i="132"/>
  <c r="B20" i="132"/>
  <c r="D20" i="132"/>
  <c r="B21" i="132"/>
  <c r="D21" i="132"/>
  <c r="B22" i="132"/>
  <c r="D22" i="132"/>
  <c r="B23" i="132"/>
  <c r="D23" i="132"/>
  <c r="B24" i="132"/>
  <c r="D24" i="132"/>
  <c r="B25" i="132"/>
  <c r="D25" i="132"/>
  <c r="B26" i="132"/>
  <c r="D26" i="132"/>
  <c r="B27" i="132"/>
  <c r="D27" i="132"/>
  <c r="B28" i="132"/>
  <c r="D28" i="132"/>
  <c r="B29" i="132"/>
  <c r="D29" i="132"/>
  <c r="B30" i="132"/>
  <c r="D30" i="132"/>
  <c r="B36" i="132"/>
  <c r="D36" i="132"/>
  <c r="B37" i="132"/>
  <c r="D37" i="132"/>
  <c r="B38" i="132"/>
  <c r="D38" i="132"/>
  <c r="B39" i="132"/>
  <c r="D39" i="132"/>
  <c r="B40" i="132"/>
  <c r="D40" i="132"/>
  <c r="B41" i="132"/>
  <c r="D41" i="132"/>
  <c r="B42" i="132"/>
  <c r="D42" i="132"/>
  <c r="B43" i="132"/>
  <c r="D43" i="132"/>
  <c r="B44" i="132"/>
  <c r="D44" i="132"/>
  <c r="B45" i="132"/>
  <c r="D45" i="132"/>
  <c r="B46" i="132"/>
  <c r="D46" i="132"/>
  <c r="B47" i="132"/>
  <c r="D47" i="132"/>
  <c r="B48" i="132"/>
  <c r="D48" i="132"/>
  <c r="B49" i="132"/>
  <c r="D49" i="132"/>
  <c r="B50" i="132"/>
  <c r="D50" i="132"/>
  <c r="B51" i="132"/>
  <c r="D51" i="132"/>
  <c r="B52" i="132"/>
  <c r="D52" i="132"/>
  <c r="B53" i="132"/>
  <c r="D53" i="132"/>
  <c r="B54" i="132"/>
  <c r="D54" i="132"/>
  <c r="B55" i="132"/>
  <c r="D55" i="132"/>
  <c r="B56" i="132"/>
  <c r="D56" i="132"/>
  <c r="B57" i="132"/>
  <c r="D57" i="132"/>
  <c r="B58" i="132"/>
  <c r="D58" i="132"/>
  <c r="B59" i="132"/>
  <c r="D59" i="132"/>
  <c r="B60" i="132"/>
  <c r="D60" i="132"/>
  <c r="B65" i="132"/>
  <c r="D65" i="132"/>
  <c r="B66" i="132"/>
  <c r="D66" i="132"/>
  <c r="B67" i="132"/>
  <c r="D67" i="132"/>
  <c r="B68" i="132"/>
  <c r="D68" i="132"/>
  <c r="B69" i="132"/>
  <c r="D69" i="132"/>
  <c r="B70" i="132"/>
  <c r="D70" i="132"/>
  <c r="B71" i="132"/>
  <c r="D71" i="132"/>
  <c r="B72" i="132"/>
  <c r="D72" i="132"/>
  <c r="B73" i="132"/>
  <c r="D73" i="132"/>
  <c r="B74" i="132"/>
  <c r="D74" i="132"/>
  <c r="B75" i="132"/>
  <c r="D75" i="132"/>
  <c r="B76" i="132"/>
  <c r="D76" i="132"/>
  <c r="B77" i="132"/>
  <c r="D77" i="132"/>
  <c r="B78" i="132"/>
  <c r="D78" i="132"/>
  <c r="B79" i="132"/>
  <c r="D79" i="132"/>
  <c r="B80" i="132"/>
  <c r="D80" i="132"/>
  <c r="B81" i="132"/>
  <c r="D81" i="132"/>
  <c r="B82" i="132"/>
  <c r="D82" i="132"/>
  <c r="B83" i="132"/>
  <c r="D83" i="132"/>
  <c r="B84" i="132"/>
  <c r="D84" i="132"/>
  <c r="B85" i="132"/>
  <c r="D85" i="132"/>
  <c r="B86" i="132"/>
  <c r="D86" i="132"/>
  <c r="B87" i="132"/>
  <c r="D87" i="132"/>
  <c r="B88" i="132"/>
  <c r="D88" i="132"/>
  <c r="B89" i="132"/>
  <c r="D89" i="132"/>
  <c r="B97" i="132"/>
  <c r="D97" i="132"/>
  <c r="B98" i="132"/>
  <c r="D98" i="132"/>
  <c r="B99" i="132"/>
  <c r="D99" i="132"/>
  <c r="B100" i="132"/>
  <c r="D100" i="132"/>
  <c r="B101" i="132"/>
  <c r="D101" i="132"/>
  <c r="B102" i="132"/>
  <c r="D102" i="132"/>
  <c r="B103" i="132"/>
  <c r="D103" i="132"/>
  <c r="B104" i="132"/>
  <c r="D104" i="132"/>
  <c r="B105" i="132"/>
  <c r="D105" i="132"/>
  <c r="B106" i="132"/>
  <c r="D106" i="132"/>
  <c r="B107" i="132"/>
  <c r="D107" i="132"/>
  <c r="B108" i="132"/>
  <c r="D108" i="132"/>
  <c r="B109" i="132"/>
  <c r="D109" i="132"/>
  <c r="B110" i="132"/>
  <c r="D110" i="132"/>
  <c r="B111" i="132"/>
  <c r="D111" i="132"/>
  <c r="B112" i="132"/>
  <c r="D112" i="132"/>
  <c r="B113" i="132"/>
  <c r="D113" i="132"/>
  <c r="B114" i="132"/>
  <c r="D114" i="132"/>
  <c r="B115" i="132"/>
  <c r="D115" i="132"/>
  <c r="B116" i="132"/>
  <c r="D116" i="132"/>
  <c r="B117" i="132"/>
  <c r="D117" i="132"/>
  <c r="B118" i="132"/>
  <c r="D118" i="132"/>
  <c r="B119" i="132"/>
  <c r="D119" i="132"/>
  <c r="B120" i="132"/>
  <c r="D120" i="132"/>
  <c r="B121" i="132"/>
  <c r="D121" i="132"/>
  <c r="B127" i="132"/>
  <c r="D127" i="132"/>
  <c r="B128" i="132"/>
  <c r="D128" i="132"/>
  <c r="B129" i="132"/>
  <c r="D129" i="132"/>
  <c r="B130" i="132"/>
  <c r="D130" i="132"/>
  <c r="B131" i="132"/>
  <c r="D131" i="132"/>
  <c r="B132" i="132"/>
  <c r="D132" i="132"/>
  <c r="B133" i="132"/>
  <c r="D133" i="132"/>
  <c r="B134" i="132"/>
  <c r="D134" i="132"/>
  <c r="B135" i="132"/>
  <c r="D135" i="132"/>
  <c r="B136" i="132"/>
  <c r="D136" i="132"/>
  <c r="B137" i="132"/>
  <c r="D137" i="132"/>
  <c r="B138" i="132"/>
  <c r="D138" i="132"/>
  <c r="B139" i="132"/>
  <c r="D139" i="132"/>
  <c r="B140" i="132"/>
  <c r="D140" i="132"/>
  <c r="B141" i="132"/>
  <c r="D141" i="132"/>
  <c r="B142" i="132"/>
  <c r="D142" i="132"/>
  <c r="B143" i="132"/>
  <c r="D143" i="132"/>
  <c r="B144" i="132"/>
  <c r="D144" i="132"/>
  <c r="B145" i="132"/>
  <c r="D145" i="132"/>
  <c r="B146" i="132"/>
  <c r="D146" i="132"/>
  <c r="B147" i="132"/>
  <c r="D147" i="132"/>
  <c r="B148" i="132"/>
  <c r="D148" i="132"/>
  <c r="B149" i="132"/>
  <c r="D149" i="132"/>
  <c r="B150" i="132"/>
  <c r="D150" i="132"/>
  <c r="B151" i="132"/>
  <c r="D151" i="132"/>
  <c r="B156" i="132"/>
  <c r="D156" i="132"/>
  <c r="B157" i="132"/>
  <c r="D157" i="132"/>
  <c r="B158" i="132"/>
  <c r="D158" i="132"/>
  <c r="B159" i="132"/>
  <c r="D159" i="132"/>
  <c r="B160" i="132"/>
  <c r="D160" i="132"/>
  <c r="B161" i="132"/>
  <c r="D161" i="132"/>
  <c r="B162" i="132"/>
  <c r="D162" i="132"/>
  <c r="B163" i="132"/>
  <c r="D163" i="132"/>
  <c r="B164" i="132"/>
  <c r="D164" i="132"/>
  <c r="B165" i="132"/>
  <c r="D165" i="132"/>
  <c r="B166" i="132"/>
  <c r="D166" i="132"/>
  <c r="B167" i="132"/>
  <c r="D167" i="132"/>
  <c r="B168" i="132"/>
  <c r="D168" i="132"/>
  <c r="B169" i="132"/>
  <c r="D169" i="132"/>
  <c r="B170" i="132"/>
  <c r="D170" i="132"/>
  <c r="B171" i="132"/>
  <c r="D171" i="132"/>
  <c r="B172" i="132"/>
  <c r="D172" i="132"/>
  <c r="B173" i="132"/>
  <c r="D173" i="132"/>
  <c r="B174" i="132"/>
  <c r="D174" i="132"/>
  <c r="B175" i="132"/>
  <c r="D175" i="132"/>
  <c r="B176" i="132"/>
  <c r="D176" i="132"/>
  <c r="B177" i="132"/>
  <c r="D177" i="132"/>
  <c r="B178" i="132"/>
  <c r="D178" i="132"/>
  <c r="B179" i="132"/>
  <c r="D179" i="132"/>
  <c r="B180" i="132"/>
  <c r="D180" i="132"/>
  <c r="B7" i="131"/>
  <c r="D7" i="131"/>
  <c r="B8" i="131"/>
  <c r="D8" i="131"/>
  <c r="B9" i="131"/>
  <c r="D9" i="131"/>
  <c r="B10" i="131"/>
  <c r="D10" i="131"/>
  <c r="B11" i="131"/>
  <c r="D11" i="131"/>
  <c r="B12" i="131"/>
  <c r="D12" i="131"/>
  <c r="B13" i="131"/>
  <c r="D13" i="131"/>
  <c r="B14" i="131"/>
  <c r="D14" i="131"/>
  <c r="B15" i="131"/>
  <c r="D15" i="131"/>
  <c r="B16" i="131"/>
  <c r="D16" i="131"/>
  <c r="B17" i="131"/>
  <c r="D17" i="131"/>
  <c r="B18" i="131"/>
  <c r="D18" i="131"/>
  <c r="B19" i="131"/>
  <c r="D19" i="131"/>
  <c r="B20" i="131"/>
  <c r="D20" i="131"/>
  <c r="B21" i="131"/>
  <c r="D21" i="131"/>
  <c r="B22" i="131"/>
  <c r="D22" i="131"/>
  <c r="B23" i="131"/>
  <c r="D23" i="131"/>
  <c r="B24" i="131"/>
  <c r="D24" i="131"/>
  <c r="B25" i="131"/>
  <c r="D25" i="131"/>
  <c r="B26" i="131"/>
  <c r="D26" i="131"/>
  <c r="B27" i="131"/>
  <c r="D27" i="131"/>
  <c r="B28" i="131"/>
  <c r="D28" i="131"/>
  <c r="B29" i="131"/>
  <c r="D29" i="131"/>
  <c r="B30" i="131"/>
  <c r="D30" i="131"/>
  <c r="B31" i="131"/>
  <c r="D31" i="131"/>
  <c r="B36" i="131"/>
  <c r="D36" i="131"/>
  <c r="B37" i="131"/>
  <c r="D37" i="131"/>
  <c r="B38" i="131"/>
  <c r="D38" i="131"/>
  <c r="B39" i="131"/>
  <c r="D39" i="131"/>
  <c r="B40" i="131"/>
  <c r="D40" i="131"/>
  <c r="B41" i="131"/>
  <c r="D41" i="131"/>
  <c r="B42" i="131"/>
  <c r="D42" i="131"/>
  <c r="B43" i="131"/>
  <c r="D43" i="131"/>
  <c r="B44" i="131"/>
  <c r="D44" i="131"/>
  <c r="B45" i="131"/>
  <c r="D45" i="131"/>
  <c r="B46" i="131"/>
  <c r="D46" i="131"/>
  <c r="B47" i="131"/>
  <c r="D47" i="131"/>
  <c r="B48" i="131"/>
  <c r="D48" i="131"/>
  <c r="B49" i="131"/>
  <c r="D49" i="131"/>
  <c r="B50" i="131"/>
  <c r="D50" i="131"/>
  <c r="B51" i="131"/>
  <c r="D51" i="131"/>
  <c r="B52" i="131"/>
  <c r="D52" i="131"/>
  <c r="B53" i="131"/>
  <c r="D53" i="131"/>
  <c r="B54" i="131"/>
  <c r="D54" i="131"/>
  <c r="B55" i="131"/>
  <c r="D55" i="131"/>
  <c r="B56" i="131"/>
  <c r="D56" i="131"/>
  <c r="B57" i="131"/>
  <c r="D57" i="131"/>
  <c r="B58" i="131"/>
  <c r="D58" i="131"/>
  <c r="B59" i="131"/>
  <c r="D59" i="131"/>
  <c r="B60" i="131"/>
  <c r="D60" i="131"/>
  <c r="B66" i="131"/>
  <c r="D66" i="131"/>
  <c r="B67" i="131"/>
  <c r="D67" i="131"/>
  <c r="B68" i="131"/>
  <c r="D68" i="131"/>
  <c r="B69" i="131"/>
  <c r="D69" i="131"/>
  <c r="B70" i="131"/>
  <c r="D70" i="131"/>
  <c r="B71" i="131"/>
  <c r="D71" i="131"/>
  <c r="B72" i="131"/>
  <c r="D72" i="131"/>
  <c r="B73" i="131"/>
  <c r="D73" i="131"/>
  <c r="B74" i="131"/>
  <c r="D74" i="131"/>
  <c r="B75" i="131"/>
  <c r="D75" i="131"/>
  <c r="B76" i="131"/>
  <c r="D76" i="131"/>
  <c r="B77" i="131"/>
  <c r="D77" i="131"/>
  <c r="B78" i="131"/>
  <c r="D78" i="131"/>
  <c r="B79" i="131"/>
  <c r="D79" i="131"/>
  <c r="B80" i="131"/>
  <c r="D80" i="131"/>
  <c r="B81" i="131"/>
  <c r="D81" i="131"/>
  <c r="B82" i="131"/>
  <c r="D82" i="131"/>
  <c r="B83" i="131"/>
  <c r="D83" i="131"/>
  <c r="B84" i="131"/>
  <c r="D84" i="131"/>
  <c r="B85" i="131"/>
  <c r="D85" i="131"/>
  <c r="B86" i="131"/>
  <c r="D86" i="131"/>
  <c r="B87" i="131"/>
  <c r="D87" i="131"/>
  <c r="B88" i="131"/>
  <c r="D88" i="131"/>
  <c r="B89" i="131"/>
  <c r="D89" i="131"/>
  <c r="B90" i="131"/>
  <c r="D90" i="131"/>
  <c r="B96" i="131"/>
  <c r="D96" i="131"/>
  <c r="B97" i="131"/>
  <c r="D97" i="131"/>
  <c r="B98" i="131"/>
  <c r="D98" i="131"/>
  <c r="B99" i="131"/>
  <c r="D99" i="131"/>
  <c r="B100" i="131"/>
  <c r="D100" i="131"/>
  <c r="B101" i="131"/>
  <c r="D101" i="131"/>
  <c r="B102" i="131"/>
  <c r="D102" i="131"/>
  <c r="B103" i="131"/>
  <c r="D103" i="131"/>
  <c r="B104" i="131"/>
  <c r="D104" i="131"/>
  <c r="B105" i="131"/>
  <c r="D105" i="131"/>
  <c r="B106" i="131"/>
  <c r="D106" i="131"/>
  <c r="B107" i="131"/>
  <c r="D107" i="131"/>
  <c r="B108" i="131"/>
  <c r="D108" i="131"/>
  <c r="B109" i="131"/>
  <c r="D109" i="131"/>
  <c r="B110" i="131"/>
  <c r="D110" i="131"/>
  <c r="B111" i="131"/>
  <c r="D111" i="131"/>
  <c r="B112" i="131"/>
  <c r="D112" i="131"/>
  <c r="B113" i="131"/>
  <c r="D113" i="131"/>
  <c r="B114" i="131"/>
  <c r="D114" i="131"/>
  <c r="B115" i="131"/>
  <c r="D115" i="131"/>
  <c r="B116" i="131"/>
  <c r="D116" i="131"/>
  <c r="B117" i="131"/>
  <c r="D117" i="131"/>
  <c r="B118" i="131"/>
  <c r="D118" i="131"/>
  <c r="B119" i="131"/>
  <c r="D119" i="131"/>
  <c r="B120" i="131"/>
  <c r="D120" i="131"/>
  <c r="B125" i="131"/>
  <c r="D125" i="131"/>
  <c r="B126" i="131"/>
  <c r="D126" i="131"/>
  <c r="B127" i="131"/>
  <c r="D127" i="131"/>
  <c r="B128" i="131"/>
  <c r="D128" i="131"/>
  <c r="B129" i="131"/>
  <c r="D129" i="131"/>
  <c r="B130" i="131"/>
  <c r="D130" i="131"/>
  <c r="B131" i="131"/>
  <c r="D131" i="131"/>
  <c r="B132" i="131"/>
  <c r="D132" i="131"/>
  <c r="B133" i="131"/>
  <c r="D133" i="131"/>
  <c r="B134" i="131"/>
  <c r="D134" i="131"/>
  <c r="B135" i="131"/>
  <c r="D135" i="131"/>
  <c r="B136" i="131"/>
  <c r="D136" i="131"/>
  <c r="B137" i="131"/>
  <c r="D137" i="131"/>
  <c r="B138" i="131"/>
  <c r="D138" i="131"/>
  <c r="B139" i="131"/>
  <c r="D139" i="131"/>
  <c r="B140" i="131"/>
  <c r="D140" i="131"/>
  <c r="B141" i="131"/>
  <c r="D141" i="131"/>
  <c r="B142" i="131"/>
  <c r="D142" i="131"/>
  <c r="B143" i="131"/>
  <c r="D143" i="131"/>
  <c r="B144" i="131"/>
  <c r="D144" i="131"/>
  <c r="B145" i="131"/>
  <c r="D145" i="131"/>
  <c r="B146" i="131"/>
  <c r="D146" i="131"/>
  <c r="B147" i="131"/>
  <c r="D147" i="131"/>
  <c r="B148" i="131"/>
  <c r="D148" i="131"/>
  <c r="B149" i="131"/>
  <c r="D149" i="131"/>
  <c r="B154" i="131"/>
  <c r="D154" i="131"/>
  <c r="B155" i="131"/>
  <c r="D155" i="131"/>
  <c r="B156" i="131"/>
  <c r="D156" i="131"/>
  <c r="B157" i="131"/>
  <c r="D157" i="131"/>
  <c r="B158" i="131"/>
  <c r="D158" i="131"/>
  <c r="B159" i="131"/>
  <c r="D159" i="131"/>
  <c r="B160" i="131"/>
  <c r="D160" i="131"/>
  <c r="B161" i="131"/>
  <c r="D161" i="131"/>
  <c r="B162" i="131"/>
  <c r="D162" i="131"/>
  <c r="B163" i="131"/>
  <c r="D163" i="131"/>
  <c r="B164" i="131"/>
  <c r="D164" i="131"/>
  <c r="B165" i="131"/>
  <c r="D165" i="131"/>
  <c r="B166" i="131"/>
  <c r="D166" i="131"/>
  <c r="B167" i="131"/>
  <c r="D167" i="131"/>
  <c r="B168" i="131"/>
  <c r="D168" i="131"/>
  <c r="B169" i="131"/>
  <c r="D169" i="131"/>
  <c r="B170" i="131"/>
  <c r="D170" i="131"/>
  <c r="B171" i="131"/>
  <c r="D171" i="131"/>
  <c r="B172" i="131"/>
  <c r="D172" i="131"/>
  <c r="B173" i="131"/>
  <c r="D173" i="131"/>
  <c r="B174" i="131"/>
  <c r="D174" i="131"/>
  <c r="B175" i="131"/>
  <c r="D175" i="131"/>
  <c r="B176" i="131"/>
  <c r="D176" i="131"/>
  <c r="B177" i="131"/>
  <c r="D177" i="131"/>
  <c r="B178" i="131"/>
  <c r="D178" i="131"/>
  <c r="B184" i="131"/>
  <c r="C184" i="131"/>
  <c r="E184" i="131"/>
  <c r="B185" i="131"/>
  <c r="C185" i="131"/>
  <c r="E185" i="131"/>
  <c r="B186" i="131"/>
  <c r="C186" i="131"/>
  <c r="E186" i="131"/>
  <c r="B187" i="131"/>
  <c r="C187" i="131"/>
  <c r="E187" i="131"/>
  <c r="B188" i="131"/>
  <c r="C188" i="131"/>
  <c r="E188" i="131"/>
  <c r="B189" i="131"/>
  <c r="C189" i="131"/>
  <c r="E189" i="131"/>
  <c r="B190" i="131"/>
  <c r="C190" i="131"/>
  <c r="E190" i="131"/>
  <c r="B191" i="131"/>
  <c r="C191" i="131"/>
  <c r="E191" i="131"/>
  <c r="B192" i="131"/>
  <c r="C192" i="131"/>
  <c r="E192" i="131"/>
  <c r="B193" i="131"/>
  <c r="C193" i="131"/>
  <c r="E193" i="131"/>
  <c r="B194" i="131"/>
  <c r="C194" i="131"/>
  <c r="E194" i="131"/>
  <c r="B195" i="131"/>
  <c r="C195" i="131"/>
  <c r="E195" i="131"/>
  <c r="B196" i="131"/>
  <c r="C196" i="131"/>
  <c r="E196" i="131"/>
  <c r="B197" i="131"/>
  <c r="C197" i="131"/>
  <c r="E197" i="131"/>
  <c r="B198" i="131"/>
  <c r="C198" i="131"/>
  <c r="E198" i="131"/>
  <c r="B199" i="131"/>
  <c r="C199" i="131"/>
  <c r="E199" i="131"/>
  <c r="B200" i="131"/>
  <c r="C200" i="131"/>
  <c r="E200" i="131"/>
  <c r="B201" i="131"/>
  <c r="C201" i="131"/>
  <c r="E201" i="131"/>
  <c r="B202" i="131"/>
  <c r="C202" i="131"/>
  <c r="E202" i="131"/>
  <c r="B203" i="131"/>
  <c r="C203" i="131"/>
  <c r="E203" i="131"/>
  <c r="B204" i="131"/>
  <c r="C204" i="131"/>
  <c r="E204" i="131"/>
  <c r="B205" i="131"/>
  <c r="C205" i="131"/>
  <c r="E205" i="131"/>
  <c r="B206" i="131"/>
  <c r="C206" i="131"/>
  <c r="E206" i="131"/>
  <c r="B207" i="131"/>
  <c r="C207" i="131"/>
  <c r="E207" i="131"/>
  <c r="B208" i="131"/>
  <c r="C208" i="131"/>
  <c r="E208" i="131"/>
  <c r="B213" i="131"/>
  <c r="C213" i="131"/>
  <c r="E213" i="131"/>
  <c r="B214" i="131"/>
  <c r="C214" i="131"/>
  <c r="E214" i="131"/>
  <c r="B215" i="131"/>
  <c r="C215" i="131"/>
  <c r="E215" i="131"/>
  <c r="B216" i="131"/>
  <c r="C216" i="131"/>
  <c r="E216" i="131"/>
  <c r="B217" i="131"/>
  <c r="C217" i="131"/>
  <c r="E217" i="131"/>
  <c r="B218" i="131"/>
  <c r="C218" i="131"/>
  <c r="E218" i="131"/>
  <c r="B219" i="131"/>
  <c r="C219" i="131"/>
  <c r="E219" i="131"/>
  <c r="B220" i="131"/>
  <c r="C220" i="131"/>
  <c r="E220" i="131"/>
  <c r="B221" i="131"/>
  <c r="C221" i="131"/>
  <c r="E221" i="131"/>
  <c r="B222" i="131"/>
  <c r="C222" i="131"/>
  <c r="E222" i="131"/>
  <c r="B223" i="131"/>
  <c r="C223" i="131"/>
  <c r="E223" i="131"/>
  <c r="B224" i="131"/>
  <c r="C224" i="131"/>
  <c r="E224" i="131"/>
  <c r="B225" i="131"/>
  <c r="C225" i="131"/>
  <c r="E225" i="131"/>
  <c r="B226" i="131"/>
  <c r="C226" i="131"/>
  <c r="E226" i="131"/>
  <c r="B227" i="131"/>
  <c r="C227" i="131"/>
  <c r="E227" i="131"/>
  <c r="B228" i="131"/>
  <c r="C228" i="131"/>
  <c r="E228" i="131"/>
  <c r="B229" i="131"/>
  <c r="C229" i="131"/>
  <c r="E229" i="131"/>
  <c r="B230" i="131"/>
  <c r="C230" i="131"/>
  <c r="E230" i="131"/>
  <c r="B231" i="131"/>
  <c r="C231" i="131"/>
  <c r="E231" i="131"/>
  <c r="B232" i="131"/>
  <c r="C232" i="131"/>
  <c r="E232" i="131"/>
  <c r="B233" i="131"/>
  <c r="C233" i="131"/>
  <c r="E233" i="131"/>
  <c r="B234" i="131"/>
  <c r="C234" i="131"/>
  <c r="E234" i="131"/>
  <c r="B235" i="131"/>
  <c r="C235" i="131"/>
  <c r="E235" i="131"/>
  <c r="B236" i="131"/>
  <c r="C236" i="131"/>
  <c r="E236" i="131"/>
  <c r="B237" i="131"/>
  <c r="C237" i="131"/>
  <c r="E237" i="131"/>
  <c r="B2" i="130"/>
  <c r="B3" i="130"/>
  <c r="B4" i="130"/>
  <c r="B5" i="130"/>
  <c r="B6" i="130"/>
  <c r="B7" i="130"/>
  <c r="B8" i="130"/>
  <c r="B9" i="130"/>
  <c r="B10" i="130"/>
  <c r="B11" i="130"/>
  <c r="B12" i="130"/>
  <c r="B13" i="130"/>
  <c r="B14" i="130"/>
  <c r="B15" i="130"/>
  <c r="B16" i="130"/>
  <c r="B17" i="130"/>
  <c r="B18" i="130"/>
  <c r="B19" i="130"/>
  <c r="B20" i="130"/>
  <c r="B21" i="130"/>
  <c r="B22" i="130"/>
  <c r="B23" i="130"/>
  <c r="B24" i="130"/>
  <c r="B25" i="130"/>
  <c r="B26" i="130"/>
  <c r="B5" i="127"/>
  <c r="F5" i="127"/>
  <c r="B6" i="127"/>
  <c r="F6" i="127"/>
  <c r="B7" i="127"/>
  <c r="F7" i="127"/>
  <c r="B8" i="127"/>
  <c r="F8" i="127"/>
  <c r="B9" i="127"/>
  <c r="F9" i="127"/>
  <c r="B10" i="127"/>
  <c r="F10" i="127"/>
  <c r="B11" i="127"/>
  <c r="F11" i="127"/>
  <c r="B12" i="127"/>
  <c r="F12" i="127"/>
  <c r="B13" i="127"/>
  <c r="F13" i="127"/>
  <c r="B14" i="127"/>
  <c r="F14" i="127"/>
  <c r="B15" i="127"/>
  <c r="F15" i="127"/>
  <c r="B16" i="127"/>
  <c r="F16" i="127"/>
  <c r="B17" i="127"/>
  <c r="F17" i="127"/>
  <c r="B18" i="127"/>
  <c r="F18" i="127"/>
  <c r="B19" i="127"/>
  <c r="F19" i="127"/>
  <c r="B20" i="127"/>
  <c r="F20" i="127"/>
  <c r="B21" i="127"/>
  <c r="F21" i="127"/>
  <c r="B22" i="127"/>
  <c r="F22" i="127"/>
  <c r="B23" i="127"/>
  <c r="F23" i="127"/>
  <c r="B24" i="127"/>
  <c r="F24" i="127"/>
  <c r="B25" i="127"/>
  <c r="F25" i="127"/>
  <c r="B26" i="127"/>
  <c r="F26" i="127"/>
  <c r="B27" i="127"/>
  <c r="F27" i="127"/>
  <c r="B28" i="127"/>
  <c r="F28" i="127"/>
  <c r="B29" i="127"/>
  <c r="F29" i="127"/>
  <c r="B34" i="127"/>
  <c r="G34" i="127"/>
  <c r="B35" i="127"/>
  <c r="G35" i="127"/>
  <c r="B36" i="127"/>
  <c r="G36" i="127"/>
  <c r="B37" i="127"/>
  <c r="G37" i="127"/>
  <c r="B38" i="127"/>
  <c r="G38" i="127"/>
  <c r="B39" i="127"/>
  <c r="G39" i="127"/>
  <c r="B40" i="127"/>
  <c r="G40" i="127"/>
  <c r="B41" i="127"/>
  <c r="G41" i="127"/>
  <c r="B42" i="127"/>
  <c r="G42" i="127"/>
  <c r="B43" i="127"/>
  <c r="G43" i="127"/>
  <c r="B44" i="127"/>
  <c r="G44" i="127"/>
  <c r="B45" i="127"/>
  <c r="G45" i="127"/>
  <c r="B46" i="127"/>
  <c r="G46" i="127"/>
  <c r="B47" i="127"/>
  <c r="G47" i="127"/>
  <c r="B48" i="127"/>
  <c r="G48" i="127"/>
  <c r="B49" i="127"/>
  <c r="G49" i="127"/>
  <c r="B50" i="127"/>
  <c r="G50" i="127"/>
  <c r="B51" i="127"/>
  <c r="G51" i="127"/>
  <c r="B52" i="127"/>
  <c r="G52" i="127"/>
  <c r="B53" i="127"/>
  <c r="G53" i="127"/>
  <c r="B54" i="127"/>
  <c r="G54" i="127"/>
  <c r="B55" i="127"/>
  <c r="G55" i="127"/>
  <c r="B56" i="127"/>
  <c r="G56" i="127"/>
  <c r="B57" i="127"/>
  <c r="G57" i="127"/>
  <c r="B58" i="127"/>
  <c r="G58" i="127"/>
  <c r="B63" i="127"/>
  <c r="C63" i="127"/>
  <c r="D63" i="127"/>
  <c r="E63" i="127"/>
  <c r="B64" i="127"/>
  <c r="C64" i="127"/>
  <c r="D64" i="127"/>
  <c r="B65" i="127"/>
  <c r="C65" i="127"/>
  <c r="D65" i="127"/>
  <c r="E65" i="127"/>
  <c r="B66" i="127"/>
  <c r="C66" i="127"/>
  <c r="D66" i="127"/>
  <c r="B67" i="127"/>
  <c r="C67" i="127"/>
  <c r="D67" i="127"/>
  <c r="B68" i="127"/>
  <c r="C68" i="127"/>
  <c r="D68" i="127"/>
  <c r="B69" i="127"/>
  <c r="C69" i="127"/>
  <c r="D69" i="127"/>
  <c r="B70" i="127"/>
  <c r="C70" i="127"/>
  <c r="D70" i="127"/>
  <c r="B71" i="127"/>
  <c r="C71" i="127"/>
  <c r="D71" i="127"/>
  <c r="B72" i="127"/>
  <c r="C72" i="127"/>
  <c r="D72" i="127"/>
  <c r="B73" i="127"/>
  <c r="C73" i="127"/>
  <c r="D73" i="127"/>
  <c r="B74" i="127"/>
  <c r="C74" i="127"/>
  <c r="D74" i="127"/>
  <c r="B75" i="127"/>
  <c r="C75" i="127"/>
  <c r="D75" i="127"/>
  <c r="B76" i="127"/>
  <c r="C76" i="127"/>
  <c r="D76" i="127"/>
  <c r="B77" i="127"/>
  <c r="C77" i="127"/>
  <c r="D77" i="127"/>
  <c r="B78" i="127"/>
  <c r="C78" i="127"/>
  <c r="D78" i="127"/>
  <c r="B79" i="127"/>
  <c r="C79" i="127"/>
  <c r="D79" i="127"/>
  <c r="E79" i="127"/>
  <c r="B80" i="127"/>
  <c r="C80" i="127"/>
  <c r="D80" i="127"/>
  <c r="E80" i="127"/>
  <c r="B81" i="127"/>
  <c r="C81" i="127"/>
  <c r="D81" i="127"/>
  <c r="B82" i="127"/>
  <c r="C82" i="127"/>
  <c r="D82" i="127"/>
  <c r="B83" i="127"/>
  <c r="C83" i="127"/>
  <c r="D83" i="127"/>
  <c r="B84" i="127"/>
  <c r="C84" i="127"/>
  <c r="D84" i="127"/>
  <c r="B85" i="127"/>
  <c r="C85" i="127"/>
  <c r="D85" i="127"/>
  <c r="E85" i="127"/>
  <c r="B86" i="127"/>
  <c r="C86" i="127"/>
  <c r="D86" i="127"/>
  <c r="B87" i="127"/>
  <c r="C87" i="127"/>
  <c r="D87" i="127"/>
  <c r="C6" i="126"/>
  <c r="E6" i="126"/>
  <c r="C7" i="126"/>
  <c r="E7" i="126"/>
  <c r="C8" i="126"/>
  <c r="E8" i="126"/>
  <c r="C9" i="126"/>
  <c r="E9" i="126"/>
  <c r="C10" i="126"/>
  <c r="E10" i="126"/>
  <c r="C11" i="126"/>
  <c r="E11" i="126"/>
  <c r="C12" i="126"/>
  <c r="E12" i="126"/>
  <c r="C13" i="126"/>
  <c r="E13" i="126"/>
  <c r="C14" i="126"/>
  <c r="E14" i="126"/>
  <c r="C15" i="126"/>
  <c r="E15" i="126"/>
  <c r="C16" i="126"/>
  <c r="E16" i="126"/>
  <c r="C17" i="126"/>
  <c r="E17" i="126"/>
  <c r="C18" i="126"/>
  <c r="E18" i="126"/>
  <c r="C19" i="126"/>
  <c r="E19" i="126"/>
  <c r="C20" i="126"/>
  <c r="E20" i="126"/>
  <c r="C21" i="126"/>
  <c r="E21" i="126"/>
  <c r="C22" i="126"/>
  <c r="E22" i="126"/>
  <c r="C23" i="126"/>
  <c r="E23" i="126"/>
  <c r="C24" i="126"/>
  <c r="E24" i="126"/>
  <c r="C25" i="126"/>
  <c r="E25" i="126"/>
  <c r="C26" i="126"/>
  <c r="E26" i="126"/>
  <c r="C27" i="126"/>
  <c r="E27" i="126"/>
  <c r="C28" i="126"/>
  <c r="E28" i="126"/>
  <c r="C29" i="126"/>
  <c r="E29" i="126"/>
  <c r="C30" i="126"/>
  <c r="E30" i="126"/>
  <c r="C37" i="126"/>
  <c r="E37" i="126"/>
  <c r="C38" i="126"/>
  <c r="E38" i="126"/>
  <c r="C39" i="126"/>
  <c r="E39" i="126"/>
  <c r="C40" i="126"/>
  <c r="E40" i="126"/>
  <c r="C41" i="126"/>
  <c r="E41" i="126"/>
  <c r="C42" i="126"/>
  <c r="E42" i="126"/>
  <c r="C43" i="126"/>
  <c r="E43" i="126"/>
  <c r="C44" i="126"/>
  <c r="E44" i="126"/>
  <c r="C45" i="126"/>
  <c r="E45" i="126"/>
  <c r="C46" i="126"/>
  <c r="E46" i="126"/>
  <c r="C47" i="126"/>
  <c r="E47" i="126"/>
  <c r="C48" i="126"/>
  <c r="E48" i="126"/>
  <c r="C49" i="126"/>
  <c r="E49" i="126"/>
  <c r="C50" i="126"/>
  <c r="E50" i="126"/>
  <c r="C51" i="126"/>
  <c r="E51" i="126"/>
  <c r="C52" i="126"/>
  <c r="E52" i="126"/>
  <c r="C53" i="126"/>
  <c r="E53" i="126"/>
  <c r="C54" i="126"/>
  <c r="E54" i="126"/>
  <c r="C55" i="126"/>
  <c r="E55" i="126"/>
  <c r="C56" i="126"/>
  <c r="E56" i="126"/>
  <c r="C57" i="126"/>
  <c r="E57" i="126"/>
  <c r="C58" i="126"/>
  <c r="E58" i="126"/>
  <c r="C59" i="126"/>
  <c r="E59" i="126"/>
  <c r="C60" i="126"/>
  <c r="E60" i="126"/>
  <c r="C61" i="126"/>
  <c r="E61" i="126"/>
  <c r="C68" i="126"/>
  <c r="D68" i="126"/>
  <c r="E68" i="126"/>
  <c r="C69" i="126"/>
  <c r="D69" i="126"/>
  <c r="E69" i="126"/>
  <c r="C70" i="126"/>
  <c r="D70" i="126"/>
  <c r="E70" i="126"/>
  <c r="C71" i="126"/>
  <c r="D71" i="126"/>
  <c r="E71" i="126"/>
  <c r="C72" i="126"/>
  <c r="D72" i="126"/>
  <c r="E72" i="126"/>
  <c r="C73" i="126"/>
  <c r="D73" i="126"/>
  <c r="E73" i="126"/>
  <c r="C74" i="126"/>
  <c r="D74" i="126"/>
  <c r="E74" i="126"/>
  <c r="C75" i="126"/>
  <c r="D75" i="126"/>
  <c r="E75" i="126"/>
  <c r="C76" i="126"/>
  <c r="D76" i="126"/>
  <c r="E76" i="126"/>
  <c r="C77" i="126"/>
  <c r="D77" i="126"/>
  <c r="E77" i="126"/>
  <c r="C78" i="126"/>
  <c r="D78" i="126"/>
  <c r="E78" i="126"/>
  <c r="C79" i="126"/>
  <c r="D79" i="126"/>
  <c r="E79" i="126"/>
  <c r="C80" i="126"/>
  <c r="D80" i="126"/>
  <c r="E80" i="126"/>
  <c r="C81" i="126"/>
  <c r="D81" i="126"/>
  <c r="E81" i="126"/>
  <c r="C82" i="126"/>
  <c r="D82" i="126"/>
  <c r="E82" i="126"/>
  <c r="C83" i="126"/>
  <c r="D83" i="126"/>
  <c r="E83" i="126"/>
  <c r="C84" i="126"/>
  <c r="D84" i="126"/>
  <c r="E84" i="126"/>
  <c r="C85" i="126"/>
  <c r="D85" i="126"/>
  <c r="E85" i="126"/>
  <c r="C86" i="126"/>
  <c r="D86" i="126"/>
  <c r="E86" i="126"/>
  <c r="C87" i="126"/>
  <c r="D87" i="126"/>
  <c r="E87" i="126"/>
  <c r="C88" i="126"/>
  <c r="D88" i="126"/>
  <c r="E88" i="126"/>
  <c r="C89" i="126"/>
  <c r="D89" i="126"/>
  <c r="E89" i="126"/>
  <c r="C90" i="126"/>
  <c r="D90" i="126"/>
  <c r="E90" i="126"/>
  <c r="C91" i="126"/>
  <c r="D91" i="126"/>
  <c r="E91" i="126"/>
  <c r="C92" i="126"/>
  <c r="D92" i="126"/>
  <c r="E92" i="126"/>
  <c r="B6" i="125"/>
  <c r="D6" i="125"/>
  <c r="B7" i="125"/>
  <c r="D7" i="125"/>
  <c r="B8" i="125"/>
  <c r="D8" i="125"/>
  <c r="B9" i="125"/>
  <c r="D9" i="125"/>
  <c r="B10" i="125"/>
  <c r="D10" i="125"/>
  <c r="B11" i="125"/>
  <c r="D11" i="125"/>
  <c r="B12" i="125"/>
  <c r="D12" i="125"/>
  <c r="B13" i="125"/>
  <c r="D13" i="125"/>
  <c r="B14" i="125"/>
  <c r="D14" i="125"/>
  <c r="B15" i="125"/>
  <c r="D15" i="125"/>
  <c r="B16" i="125"/>
  <c r="D16" i="125"/>
  <c r="B17" i="125"/>
  <c r="D17" i="125"/>
  <c r="B18" i="125"/>
  <c r="D18" i="125"/>
  <c r="B19" i="125"/>
  <c r="D19" i="125"/>
  <c r="B20" i="125"/>
  <c r="D20" i="125"/>
  <c r="B21" i="125"/>
  <c r="D21" i="125"/>
  <c r="B22" i="125"/>
  <c r="D22" i="125"/>
  <c r="B23" i="125"/>
  <c r="D23" i="125"/>
  <c r="B24" i="125"/>
  <c r="D24" i="125"/>
  <c r="B25" i="125"/>
  <c r="D25" i="125"/>
  <c r="B26" i="125"/>
  <c r="D26" i="125"/>
  <c r="B27" i="125"/>
  <c r="D27" i="125"/>
  <c r="B28" i="125"/>
  <c r="D28" i="125"/>
  <c r="B29" i="125"/>
  <c r="D29" i="125"/>
  <c r="B30" i="125"/>
  <c r="D30" i="125"/>
  <c r="B36" i="125"/>
  <c r="D36" i="125"/>
  <c r="B37" i="125"/>
  <c r="D37" i="125"/>
  <c r="B38" i="125"/>
  <c r="D38" i="125"/>
  <c r="B39" i="125"/>
  <c r="D39" i="125"/>
  <c r="B40" i="125"/>
  <c r="D40" i="125"/>
  <c r="B41" i="125"/>
  <c r="D41" i="125"/>
  <c r="B42" i="125"/>
  <c r="D42" i="125"/>
  <c r="B43" i="125"/>
  <c r="D43" i="125"/>
  <c r="B44" i="125"/>
  <c r="D44" i="125"/>
  <c r="B45" i="125"/>
  <c r="D45" i="125"/>
  <c r="B46" i="125"/>
  <c r="D46" i="125"/>
  <c r="B47" i="125"/>
  <c r="D47" i="125"/>
  <c r="B48" i="125"/>
  <c r="D48" i="125"/>
  <c r="B49" i="125"/>
  <c r="D49" i="125"/>
  <c r="B50" i="125"/>
  <c r="D50" i="125"/>
  <c r="B51" i="125"/>
  <c r="D51" i="125"/>
  <c r="B52" i="125"/>
  <c r="D52" i="125"/>
  <c r="B53" i="125"/>
  <c r="D53" i="125"/>
  <c r="B54" i="125"/>
  <c r="D54" i="125"/>
  <c r="B55" i="125"/>
  <c r="D55" i="125"/>
  <c r="B56" i="125"/>
  <c r="D56" i="125"/>
  <c r="B57" i="125"/>
  <c r="D57" i="125"/>
  <c r="B58" i="125"/>
  <c r="D58" i="125"/>
  <c r="B59" i="125"/>
  <c r="D59" i="125"/>
  <c r="B60" i="125"/>
  <c r="D60" i="125"/>
  <c r="B65" i="125"/>
  <c r="D65" i="125"/>
  <c r="B66" i="125"/>
  <c r="D66" i="125"/>
  <c r="B67" i="125"/>
  <c r="D67" i="125"/>
  <c r="B68" i="125"/>
  <c r="D68" i="125"/>
  <c r="B69" i="125"/>
  <c r="D69" i="125"/>
  <c r="B70" i="125"/>
  <c r="D70" i="125"/>
  <c r="B71" i="125"/>
  <c r="D71" i="125"/>
  <c r="B72" i="125"/>
  <c r="D72" i="125"/>
  <c r="B73" i="125"/>
  <c r="D73" i="125"/>
  <c r="B74" i="125"/>
  <c r="D74" i="125"/>
  <c r="B75" i="125"/>
  <c r="D75" i="125"/>
  <c r="B76" i="125"/>
  <c r="D76" i="125"/>
  <c r="B77" i="125"/>
  <c r="D77" i="125"/>
  <c r="B78" i="125"/>
  <c r="D78" i="125"/>
  <c r="B79" i="125"/>
  <c r="D79" i="125"/>
  <c r="B80" i="125"/>
  <c r="D80" i="125"/>
  <c r="B81" i="125"/>
  <c r="D81" i="125"/>
  <c r="B82" i="125"/>
  <c r="D82" i="125"/>
  <c r="B83" i="125"/>
  <c r="D83" i="125"/>
  <c r="B84" i="125"/>
  <c r="D84" i="125"/>
  <c r="B85" i="125"/>
  <c r="D85" i="125"/>
  <c r="B86" i="125"/>
  <c r="D86" i="125"/>
  <c r="B87" i="125"/>
  <c r="D87" i="125"/>
  <c r="B88" i="125"/>
  <c r="D88" i="125"/>
  <c r="B89" i="125"/>
  <c r="D89" i="125"/>
  <c r="B97" i="125"/>
  <c r="D97" i="125"/>
  <c r="B98" i="125"/>
  <c r="D98" i="125"/>
  <c r="B99" i="125"/>
  <c r="D99" i="125"/>
  <c r="B100" i="125"/>
  <c r="D100" i="125"/>
  <c r="B101" i="125"/>
  <c r="D101" i="125"/>
  <c r="B102" i="125"/>
  <c r="D102" i="125"/>
  <c r="B103" i="125"/>
  <c r="D103" i="125"/>
  <c r="B104" i="125"/>
  <c r="D104" i="125"/>
  <c r="B105" i="125"/>
  <c r="D105" i="125"/>
  <c r="B106" i="125"/>
  <c r="D106" i="125"/>
  <c r="B107" i="125"/>
  <c r="D107" i="125"/>
  <c r="B108" i="125"/>
  <c r="D108" i="125"/>
  <c r="B109" i="125"/>
  <c r="D109" i="125"/>
  <c r="B110" i="125"/>
  <c r="D110" i="125"/>
  <c r="B111" i="125"/>
  <c r="D111" i="125"/>
  <c r="B112" i="125"/>
  <c r="D112" i="125"/>
  <c r="B113" i="125"/>
  <c r="D113" i="125"/>
  <c r="B114" i="125"/>
  <c r="D114" i="125"/>
  <c r="B115" i="125"/>
  <c r="D115" i="125"/>
  <c r="B116" i="125"/>
  <c r="D116" i="125"/>
  <c r="B117" i="125"/>
  <c r="D117" i="125"/>
  <c r="B118" i="125"/>
  <c r="D118" i="125"/>
  <c r="B119" i="125"/>
  <c r="D119" i="125"/>
  <c r="B120" i="125"/>
  <c r="D120" i="125"/>
  <c r="B121" i="125"/>
  <c r="D121" i="125"/>
  <c r="B127" i="125"/>
  <c r="D127" i="125"/>
  <c r="B128" i="125"/>
  <c r="D128" i="125"/>
  <c r="B129" i="125"/>
  <c r="D129" i="125"/>
  <c r="B130" i="125"/>
  <c r="D130" i="125"/>
  <c r="B131" i="125"/>
  <c r="D131" i="125"/>
  <c r="B132" i="125"/>
  <c r="D132" i="125"/>
  <c r="B133" i="125"/>
  <c r="D133" i="125"/>
  <c r="B134" i="125"/>
  <c r="D134" i="125"/>
  <c r="B135" i="125"/>
  <c r="D135" i="125"/>
  <c r="B136" i="125"/>
  <c r="D136" i="125"/>
  <c r="B137" i="125"/>
  <c r="D137" i="125"/>
  <c r="B138" i="125"/>
  <c r="D138" i="125"/>
  <c r="B139" i="125"/>
  <c r="D139" i="125"/>
  <c r="B140" i="125"/>
  <c r="D140" i="125"/>
  <c r="B141" i="125"/>
  <c r="D141" i="125"/>
  <c r="B142" i="125"/>
  <c r="D142" i="125"/>
  <c r="B143" i="125"/>
  <c r="D143" i="125"/>
  <c r="B144" i="125"/>
  <c r="D144" i="125"/>
  <c r="B145" i="125"/>
  <c r="D145" i="125"/>
  <c r="B146" i="125"/>
  <c r="D146" i="125"/>
  <c r="B147" i="125"/>
  <c r="D147" i="125"/>
  <c r="B148" i="125"/>
  <c r="D148" i="125"/>
  <c r="B149" i="125"/>
  <c r="D149" i="125"/>
  <c r="B150" i="125"/>
  <c r="D150" i="125"/>
  <c r="B151" i="125"/>
  <c r="D151" i="125"/>
  <c r="B156" i="125"/>
  <c r="D156" i="125"/>
  <c r="B157" i="125"/>
  <c r="D157" i="125"/>
  <c r="B158" i="125"/>
  <c r="D158" i="125"/>
  <c r="B159" i="125"/>
  <c r="D159" i="125"/>
  <c r="B160" i="125"/>
  <c r="D160" i="125"/>
  <c r="B161" i="125"/>
  <c r="D161" i="125"/>
  <c r="B162" i="125"/>
  <c r="D162" i="125"/>
  <c r="B163" i="125"/>
  <c r="D163" i="125"/>
  <c r="B164" i="125"/>
  <c r="D164" i="125"/>
  <c r="B165" i="125"/>
  <c r="D165" i="125"/>
  <c r="B166" i="125"/>
  <c r="D166" i="125"/>
  <c r="B167" i="125"/>
  <c r="D167" i="125"/>
  <c r="B168" i="125"/>
  <c r="D168" i="125"/>
  <c r="B169" i="125"/>
  <c r="D169" i="125"/>
  <c r="B170" i="125"/>
  <c r="D170" i="125"/>
  <c r="B171" i="125"/>
  <c r="D171" i="125"/>
  <c r="B172" i="125"/>
  <c r="D172" i="125"/>
  <c r="B173" i="125"/>
  <c r="D173" i="125"/>
  <c r="B174" i="125"/>
  <c r="D174" i="125"/>
  <c r="B175" i="125"/>
  <c r="D175" i="125"/>
  <c r="B176" i="125"/>
  <c r="D176" i="125"/>
  <c r="B177" i="125"/>
  <c r="D177" i="125"/>
  <c r="B178" i="125"/>
  <c r="D178" i="125"/>
  <c r="B179" i="125"/>
  <c r="D179" i="125"/>
  <c r="B180" i="125"/>
  <c r="D180" i="125"/>
  <c r="B7" i="124"/>
  <c r="D7" i="124"/>
  <c r="B8" i="124"/>
  <c r="D8" i="124"/>
  <c r="B9" i="124"/>
  <c r="D9" i="124"/>
  <c r="B10" i="124"/>
  <c r="D10" i="124"/>
  <c r="B11" i="124"/>
  <c r="D11" i="124"/>
  <c r="B12" i="124"/>
  <c r="D12" i="124"/>
  <c r="B13" i="124"/>
  <c r="D13" i="124"/>
  <c r="B14" i="124"/>
  <c r="D14" i="124"/>
  <c r="B15" i="124"/>
  <c r="D15" i="124"/>
  <c r="B16" i="124"/>
  <c r="D16" i="124"/>
  <c r="B17" i="124"/>
  <c r="D17" i="124"/>
  <c r="B18" i="124"/>
  <c r="D18" i="124"/>
  <c r="B19" i="124"/>
  <c r="D19" i="124"/>
  <c r="B20" i="124"/>
  <c r="D20" i="124"/>
  <c r="B21" i="124"/>
  <c r="D21" i="124"/>
  <c r="B22" i="124"/>
  <c r="D22" i="124"/>
  <c r="B23" i="124"/>
  <c r="D23" i="124"/>
  <c r="B24" i="124"/>
  <c r="D24" i="124"/>
  <c r="B25" i="124"/>
  <c r="D25" i="124"/>
  <c r="B26" i="124"/>
  <c r="D26" i="124"/>
  <c r="B27" i="124"/>
  <c r="D27" i="124"/>
  <c r="B28" i="124"/>
  <c r="D28" i="124"/>
  <c r="B29" i="124"/>
  <c r="D29" i="124"/>
  <c r="B30" i="124"/>
  <c r="D30" i="124"/>
  <c r="B31" i="124"/>
  <c r="D31" i="124"/>
  <c r="B36" i="124"/>
  <c r="D36" i="124"/>
  <c r="B37" i="124"/>
  <c r="D37" i="124"/>
  <c r="B38" i="124"/>
  <c r="D38" i="124"/>
  <c r="B39" i="124"/>
  <c r="D39" i="124"/>
  <c r="B40" i="124"/>
  <c r="D40" i="124"/>
  <c r="B41" i="124"/>
  <c r="D41" i="124"/>
  <c r="B42" i="124"/>
  <c r="D42" i="124"/>
  <c r="B43" i="124"/>
  <c r="D43" i="124"/>
  <c r="B44" i="124"/>
  <c r="D44" i="124"/>
  <c r="B45" i="124"/>
  <c r="D45" i="124"/>
  <c r="B46" i="124"/>
  <c r="D46" i="124"/>
  <c r="B47" i="124"/>
  <c r="D47" i="124"/>
  <c r="B48" i="124"/>
  <c r="D48" i="124"/>
  <c r="B49" i="124"/>
  <c r="D49" i="124"/>
  <c r="B50" i="124"/>
  <c r="D50" i="124"/>
  <c r="B51" i="124"/>
  <c r="D51" i="124"/>
  <c r="B52" i="124"/>
  <c r="D52" i="124"/>
  <c r="B53" i="124"/>
  <c r="D53" i="124"/>
  <c r="B54" i="124"/>
  <c r="D54" i="124"/>
  <c r="B55" i="124"/>
  <c r="D55" i="124"/>
  <c r="B56" i="124"/>
  <c r="D56" i="124"/>
  <c r="B57" i="124"/>
  <c r="D57" i="124"/>
  <c r="B58" i="124"/>
  <c r="D58" i="124"/>
  <c r="B59" i="124"/>
  <c r="D59" i="124"/>
  <c r="B60" i="124"/>
  <c r="D60" i="124"/>
  <c r="B66" i="124"/>
  <c r="D66" i="124"/>
  <c r="B67" i="124"/>
  <c r="D67" i="124"/>
  <c r="B68" i="124"/>
  <c r="D68" i="124"/>
  <c r="B69" i="124"/>
  <c r="D69" i="124"/>
  <c r="B70" i="124"/>
  <c r="D70" i="124"/>
  <c r="B71" i="124"/>
  <c r="D71" i="124"/>
  <c r="B72" i="124"/>
  <c r="D72" i="124"/>
  <c r="B73" i="124"/>
  <c r="D73" i="124"/>
  <c r="B74" i="124"/>
  <c r="D74" i="124"/>
  <c r="B75" i="124"/>
  <c r="D75" i="124"/>
  <c r="B76" i="124"/>
  <c r="D76" i="124"/>
  <c r="B77" i="124"/>
  <c r="D77" i="124"/>
  <c r="B78" i="124"/>
  <c r="D78" i="124"/>
  <c r="B79" i="124"/>
  <c r="D79" i="124"/>
  <c r="B80" i="124"/>
  <c r="D80" i="124"/>
  <c r="B81" i="124"/>
  <c r="D81" i="124"/>
  <c r="B82" i="124"/>
  <c r="D82" i="124"/>
  <c r="B83" i="124"/>
  <c r="D83" i="124"/>
  <c r="B84" i="124"/>
  <c r="D84" i="124"/>
  <c r="B85" i="124"/>
  <c r="D85" i="124"/>
  <c r="B86" i="124"/>
  <c r="D86" i="124"/>
  <c r="B87" i="124"/>
  <c r="D87" i="124"/>
  <c r="B88" i="124"/>
  <c r="D88" i="124"/>
  <c r="B89" i="124"/>
  <c r="D89" i="124"/>
  <c r="B90" i="124"/>
  <c r="D90" i="124"/>
  <c r="B96" i="124"/>
  <c r="D96" i="124"/>
  <c r="B97" i="124"/>
  <c r="D97" i="124"/>
  <c r="B98" i="124"/>
  <c r="D98" i="124"/>
  <c r="B99" i="124"/>
  <c r="D99" i="124"/>
  <c r="B100" i="124"/>
  <c r="D100" i="124"/>
  <c r="B101" i="124"/>
  <c r="D101" i="124"/>
  <c r="B102" i="124"/>
  <c r="D102" i="124"/>
  <c r="B103" i="124"/>
  <c r="D103" i="124"/>
  <c r="B104" i="124"/>
  <c r="D104" i="124"/>
  <c r="B105" i="124"/>
  <c r="D105" i="124"/>
  <c r="B106" i="124"/>
  <c r="D106" i="124"/>
  <c r="B107" i="124"/>
  <c r="D107" i="124"/>
  <c r="B108" i="124"/>
  <c r="D108" i="124"/>
  <c r="B109" i="124"/>
  <c r="D109" i="124"/>
  <c r="B110" i="124"/>
  <c r="D110" i="124"/>
  <c r="B111" i="124"/>
  <c r="D111" i="124"/>
  <c r="B112" i="124"/>
  <c r="D112" i="124"/>
  <c r="B113" i="124"/>
  <c r="D113" i="124"/>
  <c r="B114" i="124"/>
  <c r="D114" i="124"/>
  <c r="B115" i="124"/>
  <c r="D115" i="124"/>
  <c r="B116" i="124"/>
  <c r="D116" i="124"/>
  <c r="B117" i="124"/>
  <c r="D117" i="124"/>
  <c r="B118" i="124"/>
  <c r="D118" i="124"/>
  <c r="B119" i="124"/>
  <c r="D119" i="124"/>
  <c r="B120" i="124"/>
  <c r="D120" i="124"/>
  <c r="B125" i="124"/>
  <c r="D125" i="124"/>
  <c r="B126" i="124"/>
  <c r="D126" i="124"/>
  <c r="B127" i="124"/>
  <c r="D127" i="124"/>
  <c r="B128" i="124"/>
  <c r="D128" i="124"/>
  <c r="B129" i="124"/>
  <c r="D129" i="124"/>
  <c r="B130" i="124"/>
  <c r="D130" i="124"/>
  <c r="B131" i="124"/>
  <c r="D131" i="124"/>
  <c r="B132" i="124"/>
  <c r="D132" i="124"/>
  <c r="B133" i="124"/>
  <c r="D133" i="124"/>
  <c r="B134" i="124"/>
  <c r="D134" i="124"/>
  <c r="B135" i="124"/>
  <c r="D135" i="124"/>
  <c r="B136" i="124"/>
  <c r="D136" i="124"/>
  <c r="B137" i="124"/>
  <c r="D137" i="124"/>
  <c r="B138" i="124"/>
  <c r="D138" i="124"/>
  <c r="B139" i="124"/>
  <c r="D139" i="124"/>
  <c r="B140" i="124"/>
  <c r="D140" i="124"/>
  <c r="B141" i="124"/>
  <c r="D141" i="124"/>
  <c r="B142" i="124"/>
  <c r="D142" i="124"/>
  <c r="B143" i="124"/>
  <c r="D143" i="124"/>
  <c r="B144" i="124"/>
  <c r="D144" i="124"/>
  <c r="B145" i="124"/>
  <c r="D145" i="124"/>
  <c r="B146" i="124"/>
  <c r="D146" i="124"/>
  <c r="B147" i="124"/>
  <c r="D147" i="124"/>
  <c r="B148" i="124"/>
  <c r="D148" i="124"/>
  <c r="B149" i="124"/>
  <c r="D149" i="124"/>
  <c r="B154" i="124"/>
  <c r="D154" i="124"/>
  <c r="B155" i="124"/>
  <c r="D155" i="124"/>
  <c r="B156" i="124"/>
  <c r="D156" i="124"/>
  <c r="B157" i="124"/>
  <c r="D157" i="124"/>
  <c r="B158" i="124"/>
  <c r="D158" i="124"/>
  <c r="B159" i="124"/>
  <c r="D159" i="124"/>
  <c r="B160" i="124"/>
  <c r="D160" i="124"/>
  <c r="B161" i="124"/>
  <c r="D161" i="124"/>
  <c r="B162" i="124"/>
  <c r="D162" i="124"/>
  <c r="B163" i="124"/>
  <c r="D163" i="124"/>
  <c r="B164" i="124"/>
  <c r="D164" i="124"/>
  <c r="B165" i="124"/>
  <c r="D165" i="124"/>
  <c r="B166" i="124"/>
  <c r="D166" i="124"/>
  <c r="B167" i="124"/>
  <c r="D167" i="124"/>
  <c r="B168" i="124"/>
  <c r="D168" i="124"/>
  <c r="B169" i="124"/>
  <c r="D169" i="124"/>
  <c r="B170" i="124"/>
  <c r="D170" i="124"/>
  <c r="B171" i="124"/>
  <c r="D171" i="124"/>
  <c r="B172" i="124"/>
  <c r="D172" i="124"/>
  <c r="B173" i="124"/>
  <c r="D173" i="124"/>
  <c r="B174" i="124"/>
  <c r="D174" i="124"/>
  <c r="B175" i="124"/>
  <c r="D175" i="124"/>
  <c r="B176" i="124"/>
  <c r="D176" i="124"/>
  <c r="B177" i="124"/>
  <c r="D177" i="124"/>
  <c r="B178" i="124"/>
  <c r="D178" i="124"/>
  <c r="B184" i="124"/>
  <c r="C184" i="124"/>
  <c r="E184" i="124"/>
  <c r="B185" i="124"/>
  <c r="C185" i="124"/>
  <c r="E185" i="124"/>
  <c r="B186" i="124"/>
  <c r="C186" i="124"/>
  <c r="E186" i="124"/>
  <c r="B187" i="124"/>
  <c r="C187" i="124"/>
  <c r="E187" i="124"/>
  <c r="B188" i="124"/>
  <c r="C188" i="124"/>
  <c r="E188" i="124"/>
  <c r="B189" i="124"/>
  <c r="C189" i="124"/>
  <c r="E189" i="124"/>
  <c r="B190" i="124"/>
  <c r="C190" i="124"/>
  <c r="E190" i="124"/>
  <c r="B191" i="124"/>
  <c r="C191" i="124"/>
  <c r="E191" i="124"/>
  <c r="B192" i="124"/>
  <c r="C192" i="124"/>
  <c r="E192" i="124"/>
  <c r="B193" i="124"/>
  <c r="C193" i="124"/>
  <c r="E193" i="124"/>
  <c r="B194" i="124"/>
  <c r="C194" i="124"/>
  <c r="E194" i="124"/>
  <c r="B195" i="124"/>
  <c r="C195" i="124"/>
  <c r="E195" i="124"/>
  <c r="B196" i="124"/>
  <c r="C196" i="124"/>
  <c r="E196" i="124"/>
  <c r="B197" i="124"/>
  <c r="C197" i="124"/>
  <c r="E197" i="124"/>
  <c r="B198" i="124"/>
  <c r="C198" i="124"/>
  <c r="E198" i="124"/>
  <c r="B199" i="124"/>
  <c r="C199" i="124"/>
  <c r="E199" i="124"/>
  <c r="B200" i="124"/>
  <c r="C200" i="124"/>
  <c r="E200" i="124"/>
  <c r="B201" i="124"/>
  <c r="C201" i="124"/>
  <c r="E201" i="124"/>
  <c r="B202" i="124"/>
  <c r="C202" i="124"/>
  <c r="E202" i="124"/>
  <c r="B203" i="124"/>
  <c r="C203" i="124"/>
  <c r="E203" i="124"/>
  <c r="B204" i="124"/>
  <c r="C204" i="124"/>
  <c r="E204" i="124"/>
  <c r="B205" i="124"/>
  <c r="C205" i="124"/>
  <c r="E205" i="124"/>
  <c r="B206" i="124"/>
  <c r="C206" i="124"/>
  <c r="E206" i="124"/>
  <c r="B207" i="124"/>
  <c r="C207" i="124"/>
  <c r="E207" i="124"/>
  <c r="B208" i="124"/>
  <c r="C208" i="124"/>
  <c r="E208" i="124"/>
  <c r="B213" i="124"/>
  <c r="C213" i="124"/>
  <c r="E213" i="124"/>
  <c r="B214" i="124"/>
  <c r="C214" i="124"/>
  <c r="E214" i="124"/>
  <c r="B215" i="124"/>
  <c r="C215" i="124"/>
  <c r="E215" i="124"/>
  <c r="B216" i="124"/>
  <c r="C216" i="124"/>
  <c r="E216" i="124"/>
  <c r="B217" i="124"/>
  <c r="C217" i="124"/>
  <c r="E217" i="124"/>
  <c r="B218" i="124"/>
  <c r="C218" i="124"/>
  <c r="E218" i="124"/>
  <c r="B219" i="124"/>
  <c r="C219" i="124"/>
  <c r="E219" i="124"/>
  <c r="B220" i="124"/>
  <c r="C220" i="124"/>
  <c r="E220" i="124"/>
  <c r="B221" i="124"/>
  <c r="C221" i="124"/>
  <c r="E221" i="124"/>
  <c r="B222" i="124"/>
  <c r="C222" i="124"/>
  <c r="E222" i="124"/>
  <c r="B223" i="124"/>
  <c r="C223" i="124"/>
  <c r="E223" i="124"/>
  <c r="B224" i="124"/>
  <c r="C224" i="124"/>
  <c r="E224" i="124"/>
  <c r="B225" i="124"/>
  <c r="C225" i="124"/>
  <c r="E225" i="124"/>
  <c r="B226" i="124"/>
  <c r="C226" i="124"/>
  <c r="E226" i="124"/>
  <c r="B227" i="124"/>
  <c r="C227" i="124"/>
  <c r="E227" i="124"/>
  <c r="B228" i="124"/>
  <c r="C228" i="124"/>
  <c r="E228" i="124"/>
  <c r="B229" i="124"/>
  <c r="C229" i="124"/>
  <c r="E229" i="124"/>
  <c r="B230" i="124"/>
  <c r="C230" i="124"/>
  <c r="E230" i="124"/>
  <c r="B231" i="124"/>
  <c r="C231" i="124"/>
  <c r="E231" i="124"/>
  <c r="B232" i="124"/>
  <c r="C232" i="124"/>
  <c r="E232" i="124"/>
  <c r="B233" i="124"/>
  <c r="C233" i="124"/>
  <c r="E233" i="124"/>
  <c r="B234" i="124"/>
  <c r="C234" i="124"/>
  <c r="E234" i="124"/>
  <c r="B235" i="124"/>
  <c r="C235" i="124"/>
  <c r="E235" i="124"/>
  <c r="B236" i="124"/>
  <c r="C236" i="124"/>
  <c r="E236" i="124"/>
  <c r="B237" i="124"/>
  <c r="C237" i="124"/>
  <c r="E237" i="124"/>
  <c r="B2" i="123"/>
  <c r="B3" i="123"/>
  <c r="B4" i="123"/>
  <c r="B5" i="123"/>
  <c r="B6" i="123"/>
  <c r="B7" i="123"/>
  <c r="B8" i="123"/>
  <c r="B9" i="123"/>
  <c r="B10" i="123"/>
  <c r="B11" i="123"/>
  <c r="B12" i="123"/>
  <c r="B13" i="123"/>
  <c r="B14" i="123"/>
  <c r="B15" i="123"/>
  <c r="B16" i="123"/>
  <c r="B17" i="123"/>
  <c r="B18" i="123"/>
  <c r="B19" i="123"/>
  <c r="B20" i="123"/>
  <c r="B21" i="123"/>
  <c r="B22" i="123"/>
  <c r="B23" i="123"/>
  <c r="B24" i="123"/>
  <c r="B25" i="123"/>
  <c r="B26" i="123"/>
  <c r="B5" i="120"/>
  <c r="F5" i="120"/>
  <c r="B6" i="120"/>
  <c r="F6" i="120"/>
  <c r="B7" i="120"/>
  <c r="F7" i="120"/>
  <c r="B8" i="120"/>
  <c r="F8" i="120"/>
  <c r="B9" i="120"/>
  <c r="F9" i="120"/>
  <c r="B10" i="120"/>
  <c r="F10" i="120"/>
  <c r="B11" i="120"/>
  <c r="F11" i="120"/>
  <c r="B12" i="120"/>
  <c r="F12" i="120"/>
  <c r="B13" i="120"/>
  <c r="F13" i="120"/>
  <c r="B14" i="120"/>
  <c r="F14" i="120"/>
  <c r="B15" i="120"/>
  <c r="F15" i="120"/>
  <c r="B16" i="120"/>
  <c r="F16" i="120"/>
  <c r="B17" i="120"/>
  <c r="F17" i="120"/>
  <c r="B18" i="120"/>
  <c r="F18" i="120"/>
  <c r="B19" i="120"/>
  <c r="F19" i="120"/>
  <c r="B20" i="120"/>
  <c r="F20" i="120"/>
  <c r="B21" i="120"/>
  <c r="F21" i="120"/>
  <c r="B22" i="120"/>
  <c r="F22" i="120"/>
  <c r="B23" i="120"/>
  <c r="F23" i="120"/>
  <c r="B24" i="120"/>
  <c r="F24" i="120"/>
  <c r="B25" i="120"/>
  <c r="F25" i="120"/>
  <c r="B26" i="120"/>
  <c r="F26" i="120"/>
  <c r="B27" i="120"/>
  <c r="F27" i="120"/>
  <c r="B28" i="120"/>
  <c r="F28" i="120"/>
  <c r="B29" i="120"/>
  <c r="F29" i="120"/>
  <c r="B34" i="120"/>
  <c r="G34" i="120"/>
  <c r="B35" i="120"/>
  <c r="G35" i="120"/>
  <c r="B36" i="120"/>
  <c r="G36" i="120"/>
  <c r="B37" i="120"/>
  <c r="G37" i="120"/>
  <c r="B38" i="120"/>
  <c r="G38" i="120"/>
  <c r="B39" i="120"/>
  <c r="G39" i="120"/>
  <c r="B40" i="120"/>
  <c r="G40" i="120"/>
  <c r="B41" i="120"/>
  <c r="G41" i="120"/>
  <c r="B42" i="120"/>
  <c r="G42" i="120"/>
  <c r="B43" i="120"/>
  <c r="G43" i="120"/>
  <c r="B44" i="120"/>
  <c r="G44" i="120"/>
  <c r="B45" i="120"/>
  <c r="G45" i="120"/>
  <c r="B46" i="120"/>
  <c r="G46" i="120"/>
  <c r="B47" i="120"/>
  <c r="G47" i="120"/>
  <c r="B48" i="120"/>
  <c r="G48" i="120"/>
  <c r="B49" i="120"/>
  <c r="G49" i="120"/>
  <c r="B50" i="120"/>
  <c r="G50" i="120"/>
  <c r="B51" i="120"/>
  <c r="G51" i="120"/>
  <c r="B52" i="120"/>
  <c r="G52" i="120"/>
  <c r="B53" i="120"/>
  <c r="G53" i="120"/>
  <c r="B54" i="120"/>
  <c r="G54" i="120"/>
  <c r="B55" i="120"/>
  <c r="G55" i="120"/>
  <c r="B56" i="120"/>
  <c r="G56" i="120"/>
  <c r="B57" i="120"/>
  <c r="G57" i="120"/>
  <c r="B58" i="120"/>
  <c r="G58" i="120"/>
  <c r="B63" i="120"/>
  <c r="C63" i="120"/>
  <c r="D63" i="120"/>
  <c r="B64" i="120"/>
  <c r="C64" i="120"/>
  <c r="D64" i="120"/>
  <c r="B65" i="120"/>
  <c r="C65" i="120"/>
  <c r="D65" i="120"/>
  <c r="E65" i="120"/>
  <c r="B66" i="120"/>
  <c r="C66" i="120"/>
  <c r="D66" i="120"/>
  <c r="B67" i="120"/>
  <c r="C67" i="120"/>
  <c r="D67" i="120"/>
  <c r="B68" i="120"/>
  <c r="C68" i="120"/>
  <c r="D68" i="120"/>
  <c r="B69" i="120"/>
  <c r="C69" i="120"/>
  <c r="D69" i="120"/>
  <c r="B70" i="120"/>
  <c r="C70" i="120"/>
  <c r="D70" i="120"/>
  <c r="B71" i="120"/>
  <c r="C71" i="120"/>
  <c r="D71" i="120"/>
  <c r="B72" i="120"/>
  <c r="C72" i="120"/>
  <c r="D72" i="120"/>
  <c r="B73" i="120"/>
  <c r="C73" i="120"/>
  <c r="D73" i="120"/>
  <c r="B74" i="120"/>
  <c r="C74" i="120"/>
  <c r="D74" i="120"/>
  <c r="B75" i="120"/>
  <c r="C75" i="120"/>
  <c r="D75" i="120"/>
  <c r="B76" i="120"/>
  <c r="C76" i="120"/>
  <c r="D76" i="120"/>
  <c r="B77" i="120"/>
  <c r="C77" i="120"/>
  <c r="D77" i="120"/>
  <c r="B78" i="120"/>
  <c r="C78" i="120"/>
  <c r="D78" i="120"/>
  <c r="B79" i="120"/>
  <c r="C79" i="120"/>
  <c r="D79" i="120"/>
  <c r="E79" i="120"/>
  <c r="B80" i="120"/>
  <c r="C80" i="120"/>
  <c r="D80" i="120"/>
  <c r="E80" i="120"/>
  <c r="B81" i="120"/>
  <c r="C81" i="120"/>
  <c r="D81" i="120"/>
  <c r="B82" i="120"/>
  <c r="C82" i="120"/>
  <c r="D82" i="120"/>
  <c r="B83" i="120"/>
  <c r="C83" i="120"/>
  <c r="D83" i="120"/>
  <c r="E83" i="120"/>
  <c r="B84" i="120"/>
  <c r="C84" i="120"/>
  <c r="D84" i="120"/>
  <c r="E84" i="120"/>
  <c r="B85" i="120"/>
  <c r="C85" i="120"/>
  <c r="D85" i="120"/>
  <c r="E85" i="120"/>
  <c r="B86" i="120"/>
  <c r="C86" i="120"/>
  <c r="D86" i="120"/>
  <c r="E86" i="120"/>
  <c r="B87" i="120"/>
  <c r="C87" i="120"/>
  <c r="D87" i="120"/>
  <c r="E87" i="120"/>
  <c r="C6" i="119"/>
  <c r="E6" i="119"/>
  <c r="C7" i="119"/>
  <c r="E7" i="119"/>
  <c r="C8" i="119"/>
  <c r="E8" i="119"/>
  <c r="C9" i="119"/>
  <c r="E9" i="119"/>
  <c r="C10" i="119"/>
  <c r="E10" i="119"/>
  <c r="C11" i="119"/>
  <c r="E11" i="119"/>
  <c r="C12" i="119"/>
  <c r="E12" i="119"/>
  <c r="C13" i="119"/>
  <c r="E13" i="119"/>
  <c r="C14" i="119"/>
  <c r="E14" i="119"/>
  <c r="C15" i="119"/>
  <c r="E15" i="119"/>
  <c r="C16" i="119"/>
  <c r="E16" i="119"/>
  <c r="C17" i="119"/>
  <c r="E17" i="119"/>
  <c r="C18" i="119"/>
  <c r="E18" i="119"/>
  <c r="C19" i="119"/>
  <c r="E19" i="119"/>
  <c r="C20" i="119"/>
  <c r="E20" i="119"/>
  <c r="C21" i="119"/>
  <c r="E21" i="119"/>
  <c r="C22" i="119"/>
  <c r="E22" i="119"/>
  <c r="C23" i="119"/>
  <c r="E23" i="119"/>
  <c r="C24" i="119"/>
  <c r="E24" i="119"/>
  <c r="C25" i="119"/>
  <c r="E25" i="119"/>
  <c r="C26" i="119"/>
  <c r="E26" i="119"/>
  <c r="C27" i="119"/>
  <c r="E27" i="119"/>
  <c r="C28" i="119"/>
  <c r="E28" i="119"/>
  <c r="C29" i="119"/>
  <c r="E29" i="119"/>
  <c r="C30" i="119"/>
  <c r="E30" i="119"/>
  <c r="C37" i="119"/>
  <c r="E37" i="119"/>
  <c r="C38" i="119"/>
  <c r="E38" i="119"/>
  <c r="C39" i="119"/>
  <c r="E39" i="119"/>
  <c r="C40" i="119"/>
  <c r="E40" i="119"/>
  <c r="C41" i="119"/>
  <c r="E41" i="119"/>
  <c r="C42" i="119"/>
  <c r="E42" i="119"/>
  <c r="C43" i="119"/>
  <c r="E43" i="119"/>
  <c r="C44" i="119"/>
  <c r="E44" i="119"/>
  <c r="C45" i="119"/>
  <c r="E45" i="119"/>
  <c r="C46" i="119"/>
  <c r="E46" i="119"/>
  <c r="C47" i="119"/>
  <c r="E47" i="119"/>
  <c r="C48" i="119"/>
  <c r="E48" i="119"/>
  <c r="C49" i="119"/>
  <c r="E49" i="119"/>
  <c r="C50" i="119"/>
  <c r="E50" i="119"/>
  <c r="C51" i="119"/>
  <c r="E51" i="119"/>
  <c r="C52" i="119"/>
  <c r="E52" i="119"/>
  <c r="C53" i="119"/>
  <c r="E53" i="119"/>
  <c r="C54" i="119"/>
  <c r="E54" i="119"/>
  <c r="C55" i="119"/>
  <c r="E55" i="119"/>
  <c r="C56" i="119"/>
  <c r="E56" i="119"/>
  <c r="C57" i="119"/>
  <c r="E57" i="119"/>
  <c r="C58" i="119"/>
  <c r="E58" i="119"/>
  <c r="C59" i="119"/>
  <c r="E59" i="119"/>
  <c r="C60" i="119"/>
  <c r="E60" i="119"/>
  <c r="C61" i="119"/>
  <c r="E61" i="119"/>
  <c r="C68" i="119"/>
  <c r="D68" i="119"/>
  <c r="E68" i="119"/>
  <c r="C69" i="119"/>
  <c r="D69" i="119"/>
  <c r="E69" i="119"/>
  <c r="C70" i="119"/>
  <c r="D70" i="119"/>
  <c r="E70" i="119"/>
  <c r="C71" i="119"/>
  <c r="D71" i="119"/>
  <c r="E71" i="119"/>
  <c r="C72" i="119"/>
  <c r="D72" i="119"/>
  <c r="E72" i="119"/>
  <c r="C73" i="119"/>
  <c r="D73" i="119"/>
  <c r="E73" i="119"/>
  <c r="C74" i="119"/>
  <c r="D74" i="119"/>
  <c r="E74" i="119"/>
  <c r="C75" i="119"/>
  <c r="D75" i="119"/>
  <c r="E75" i="119"/>
  <c r="C76" i="119"/>
  <c r="D76" i="119"/>
  <c r="E76" i="119"/>
  <c r="C77" i="119"/>
  <c r="D77" i="119"/>
  <c r="E77" i="119"/>
  <c r="C78" i="119"/>
  <c r="D78" i="119"/>
  <c r="E78" i="119"/>
  <c r="C79" i="119"/>
  <c r="D79" i="119"/>
  <c r="E79" i="119"/>
  <c r="C80" i="119"/>
  <c r="D80" i="119"/>
  <c r="E80" i="119"/>
  <c r="C81" i="119"/>
  <c r="D81" i="119"/>
  <c r="E81" i="119"/>
  <c r="C82" i="119"/>
  <c r="D82" i="119"/>
  <c r="E82" i="119"/>
  <c r="C83" i="119"/>
  <c r="D83" i="119"/>
  <c r="E83" i="119"/>
  <c r="C84" i="119"/>
  <c r="D84" i="119"/>
  <c r="E84" i="119"/>
  <c r="C85" i="119"/>
  <c r="D85" i="119"/>
  <c r="E85" i="119"/>
  <c r="C86" i="119"/>
  <c r="D86" i="119"/>
  <c r="E86" i="119"/>
  <c r="C87" i="119"/>
  <c r="D87" i="119"/>
  <c r="E87" i="119"/>
  <c r="C88" i="119"/>
  <c r="D88" i="119"/>
  <c r="E88" i="119"/>
  <c r="C89" i="119"/>
  <c r="D89" i="119"/>
  <c r="E89" i="119"/>
  <c r="C90" i="119"/>
  <c r="D90" i="119"/>
  <c r="E90" i="119"/>
  <c r="C91" i="119"/>
  <c r="D91" i="119"/>
  <c r="E91" i="119"/>
  <c r="C92" i="119"/>
  <c r="D92" i="119"/>
  <c r="E92" i="119"/>
  <c r="B6" i="118"/>
  <c r="D6" i="118"/>
  <c r="B7" i="118"/>
  <c r="D7" i="118"/>
  <c r="B8" i="118"/>
  <c r="D8" i="118"/>
  <c r="B9" i="118"/>
  <c r="D9" i="118"/>
  <c r="B10" i="118"/>
  <c r="D10" i="118"/>
  <c r="B11" i="118"/>
  <c r="D11" i="118"/>
  <c r="B12" i="118"/>
  <c r="D12" i="118"/>
  <c r="B13" i="118"/>
  <c r="D13" i="118"/>
  <c r="B14" i="118"/>
  <c r="D14" i="118"/>
  <c r="B15" i="118"/>
  <c r="D15" i="118"/>
  <c r="B16" i="118"/>
  <c r="D16" i="118"/>
  <c r="B17" i="118"/>
  <c r="D17" i="118"/>
  <c r="B18" i="118"/>
  <c r="D18" i="118"/>
  <c r="B19" i="118"/>
  <c r="D19" i="118"/>
  <c r="B20" i="118"/>
  <c r="D20" i="118"/>
  <c r="B21" i="118"/>
  <c r="D21" i="118"/>
  <c r="B22" i="118"/>
  <c r="D22" i="118"/>
  <c r="B23" i="118"/>
  <c r="D23" i="118"/>
  <c r="B24" i="118"/>
  <c r="D24" i="118"/>
  <c r="B25" i="118"/>
  <c r="D25" i="118"/>
  <c r="B26" i="118"/>
  <c r="D26" i="118"/>
  <c r="B27" i="118"/>
  <c r="D27" i="118"/>
  <c r="B28" i="118"/>
  <c r="D28" i="118"/>
  <c r="B29" i="118"/>
  <c r="D29" i="118"/>
  <c r="B30" i="118"/>
  <c r="D30" i="118"/>
  <c r="B36" i="118"/>
  <c r="D36" i="118"/>
  <c r="B37" i="118"/>
  <c r="D37" i="118"/>
  <c r="B38" i="118"/>
  <c r="D38" i="118"/>
  <c r="B39" i="118"/>
  <c r="D39" i="118"/>
  <c r="B40" i="118"/>
  <c r="D40" i="118"/>
  <c r="B41" i="118"/>
  <c r="D41" i="118"/>
  <c r="B42" i="118"/>
  <c r="D42" i="118"/>
  <c r="B43" i="118"/>
  <c r="D43" i="118"/>
  <c r="B44" i="118"/>
  <c r="D44" i="118"/>
  <c r="B45" i="118"/>
  <c r="D45" i="118"/>
  <c r="B46" i="118"/>
  <c r="D46" i="118"/>
  <c r="B47" i="118"/>
  <c r="D47" i="118"/>
  <c r="B48" i="118"/>
  <c r="D48" i="118"/>
  <c r="B49" i="118"/>
  <c r="D49" i="118"/>
  <c r="B50" i="118"/>
  <c r="D50" i="118"/>
  <c r="B51" i="118"/>
  <c r="D51" i="118"/>
  <c r="B52" i="118"/>
  <c r="D52" i="118"/>
  <c r="B53" i="118"/>
  <c r="D53" i="118"/>
  <c r="B54" i="118"/>
  <c r="D54" i="118"/>
  <c r="B55" i="118"/>
  <c r="D55" i="118"/>
  <c r="B56" i="118"/>
  <c r="D56" i="118"/>
  <c r="B57" i="118"/>
  <c r="D57" i="118"/>
  <c r="B58" i="118"/>
  <c r="D58" i="118"/>
  <c r="B59" i="118"/>
  <c r="D59" i="118"/>
  <c r="B60" i="118"/>
  <c r="D60" i="118"/>
  <c r="B65" i="118"/>
  <c r="D65" i="118"/>
  <c r="B66" i="118"/>
  <c r="D66" i="118"/>
  <c r="B67" i="118"/>
  <c r="D67" i="118"/>
  <c r="B68" i="118"/>
  <c r="D68" i="118"/>
  <c r="B69" i="118"/>
  <c r="D69" i="118"/>
  <c r="B70" i="118"/>
  <c r="D70" i="118"/>
  <c r="B71" i="118"/>
  <c r="D71" i="118"/>
  <c r="B72" i="118"/>
  <c r="D72" i="118"/>
  <c r="B73" i="118"/>
  <c r="D73" i="118"/>
  <c r="B74" i="118"/>
  <c r="D74" i="118"/>
  <c r="B75" i="118"/>
  <c r="D75" i="118"/>
  <c r="B76" i="118"/>
  <c r="D76" i="118"/>
  <c r="B77" i="118"/>
  <c r="D77" i="118"/>
  <c r="B78" i="118"/>
  <c r="D78" i="118"/>
  <c r="B79" i="118"/>
  <c r="D79" i="118"/>
  <c r="B80" i="118"/>
  <c r="D80" i="118"/>
  <c r="B81" i="118"/>
  <c r="D81" i="118"/>
  <c r="B82" i="118"/>
  <c r="D82" i="118"/>
  <c r="B83" i="118"/>
  <c r="D83" i="118"/>
  <c r="B84" i="118"/>
  <c r="D84" i="118"/>
  <c r="B85" i="118"/>
  <c r="D85" i="118"/>
  <c r="B86" i="118"/>
  <c r="D86" i="118"/>
  <c r="B87" i="118"/>
  <c r="D87" i="118"/>
  <c r="B88" i="118"/>
  <c r="D88" i="118"/>
  <c r="B89" i="118"/>
  <c r="D89" i="118"/>
  <c r="B97" i="118"/>
  <c r="D97" i="118"/>
  <c r="B98" i="118"/>
  <c r="D98" i="118"/>
  <c r="B99" i="118"/>
  <c r="D99" i="118"/>
  <c r="B100" i="118"/>
  <c r="D100" i="118"/>
  <c r="B101" i="118"/>
  <c r="D101" i="118"/>
  <c r="B102" i="118"/>
  <c r="D102" i="118"/>
  <c r="B103" i="118"/>
  <c r="D103" i="118"/>
  <c r="B104" i="118"/>
  <c r="D104" i="118"/>
  <c r="B105" i="118"/>
  <c r="D105" i="118"/>
  <c r="B106" i="118"/>
  <c r="D106" i="118"/>
  <c r="B107" i="118"/>
  <c r="D107" i="118"/>
  <c r="B108" i="118"/>
  <c r="D108" i="118"/>
  <c r="B109" i="118"/>
  <c r="D109" i="118"/>
  <c r="B110" i="118"/>
  <c r="D110" i="118"/>
  <c r="B111" i="118"/>
  <c r="D111" i="118"/>
  <c r="B112" i="118"/>
  <c r="D112" i="118"/>
  <c r="B113" i="118"/>
  <c r="D113" i="118"/>
  <c r="B114" i="118"/>
  <c r="D114" i="118"/>
  <c r="B115" i="118"/>
  <c r="D115" i="118"/>
  <c r="B116" i="118"/>
  <c r="D116" i="118"/>
  <c r="B117" i="118"/>
  <c r="D117" i="118"/>
  <c r="B118" i="118"/>
  <c r="D118" i="118"/>
  <c r="B119" i="118"/>
  <c r="D119" i="118"/>
  <c r="B120" i="118"/>
  <c r="D120" i="118"/>
  <c r="B121" i="118"/>
  <c r="D121" i="118"/>
  <c r="B127" i="118"/>
  <c r="D127" i="118"/>
  <c r="B128" i="118"/>
  <c r="D128" i="118"/>
  <c r="B129" i="118"/>
  <c r="D129" i="118"/>
  <c r="B130" i="118"/>
  <c r="D130" i="118"/>
  <c r="B131" i="118"/>
  <c r="D131" i="118"/>
  <c r="B132" i="118"/>
  <c r="D132" i="118"/>
  <c r="B133" i="118"/>
  <c r="D133" i="118"/>
  <c r="B134" i="118"/>
  <c r="D134" i="118"/>
  <c r="B135" i="118"/>
  <c r="D135" i="118"/>
  <c r="B136" i="118"/>
  <c r="D136" i="118"/>
  <c r="B137" i="118"/>
  <c r="D137" i="118"/>
  <c r="B138" i="118"/>
  <c r="D138" i="118"/>
  <c r="B139" i="118"/>
  <c r="D139" i="118"/>
  <c r="B140" i="118"/>
  <c r="D140" i="118"/>
  <c r="B141" i="118"/>
  <c r="D141" i="118"/>
  <c r="B142" i="118"/>
  <c r="D142" i="118"/>
  <c r="B143" i="118"/>
  <c r="D143" i="118"/>
  <c r="B144" i="118"/>
  <c r="D144" i="118"/>
  <c r="B145" i="118"/>
  <c r="D145" i="118"/>
  <c r="B146" i="118"/>
  <c r="D146" i="118"/>
  <c r="B147" i="118"/>
  <c r="D147" i="118"/>
  <c r="B148" i="118"/>
  <c r="D148" i="118"/>
  <c r="B149" i="118"/>
  <c r="D149" i="118"/>
  <c r="B150" i="118"/>
  <c r="D150" i="118"/>
  <c r="B151" i="118"/>
  <c r="D151" i="118"/>
  <c r="B156" i="118"/>
  <c r="D156" i="118"/>
  <c r="B157" i="118"/>
  <c r="D157" i="118"/>
  <c r="B158" i="118"/>
  <c r="D158" i="118"/>
  <c r="B159" i="118"/>
  <c r="D159" i="118"/>
  <c r="B160" i="118"/>
  <c r="D160" i="118"/>
  <c r="B161" i="118"/>
  <c r="D161" i="118"/>
  <c r="B162" i="118"/>
  <c r="D162" i="118"/>
  <c r="B163" i="118"/>
  <c r="D163" i="118"/>
  <c r="B164" i="118"/>
  <c r="D164" i="118"/>
  <c r="B165" i="118"/>
  <c r="D165" i="118"/>
  <c r="B166" i="118"/>
  <c r="D166" i="118"/>
  <c r="B167" i="118"/>
  <c r="D167" i="118"/>
  <c r="B168" i="118"/>
  <c r="D168" i="118"/>
  <c r="B169" i="118"/>
  <c r="D169" i="118"/>
  <c r="B170" i="118"/>
  <c r="D170" i="118"/>
  <c r="B171" i="118"/>
  <c r="D171" i="118"/>
  <c r="B172" i="118"/>
  <c r="D172" i="118"/>
  <c r="B173" i="118"/>
  <c r="D173" i="118"/>
  <c r="B174" i="118"/>
  <c r="D174" i="118"/>
  <c r="B175" i="118"/>
  <c r="D175" i="118"/>
  <c r="B176" i="118"/>
  <c r="D176" i="118"/>
  <c r="B177" i="118"/>
  <c r="D177" i="118"/>
  <c r="B178" i="118"/>
  <c r="D178" i="118"/>
  <c r="B179" i="118"/>
  <c r="D179" i="118"/>
  <c r="B180" i="118"/>
  <c r="D180" i="118"/>
  <c r="B7" i="117"/>
  <c r="D7" i="117"/>
  <c r="B8" i="117"/>
  <c r="D8" i="117"/>
  <c r="B9" i="117"/>
  <c r="D9" i="117"/>
  <c r="B10" i="117"/>
  <c r="D10" i="117"/>
  <c r="B11" i="117"/>
  <c r="D11" i="117"/>
  <c r="B12" i="117"/>
  <c r="D12" i="117"/>
  <c r="B13" i="117"/>
  <c r="D13" i="117"/>
  <c r="B14" i="117"/>
  <c r="D14" i="117"/>
  <c r="B15" i="117"/>
  <c r="D15" i="117"/>
  <c r="B16" i="117"/>
  <c r="D16" i="117"/>
  <c r="B17" i="117"/>
  <c r="D17" i="117"/>
  <c r="B18" i="117"/>
  <c r="D18" i="117"/>
  <c r="B19" i="117"/>
  <c r="D19" i="117"/>
  <c r="B20" i="117"/>
  <c r="D20" i="117"/>
  <c r="B21" i="117"/>
  <c r="D21" i="117"/>
  <c r="B22" i="117"/>
  <c r="D22" i="117"/>
  <c r="B23" i="117"/>
  <c r="D23" i="117"/>
  <c r="B24" i="117"/>
  <c r="D24" i="117"/>
  <c r="B25" i="117"/>
  <c r="D25" i="117"/>
  <c r="B26" i="117"/>
  <c r="D26" i="117"/>
  <c r="B27" i="117"/>
  <c r="D27" i="117"/>
  <c r="B28" i="117"/>
  <c r="D28" i="117"/>
  <c r="B29" i="117"/>
  <c r="D29" i="117"/>
  <c r="B30" i="117"/>
  <c r="D30" i="117"/>
  <c r="B31" i="117"/>
  <c r="D31" i="117"/>
  <c r="B36" i="117"/>
  <c r="D36" i="117"/>
  <c r="B37" i="117"/>
  <c r="D37" i="117"/>
  <c r="B38" i="117"/>
  <c r="D38" i="117"/>
  <c r="B39" i="117"/>
  <c r="D39" i="117"/>
  <c r="B40" i="117"/>
  <c r="D40" i="117"/>
  <c r="B41" i="117"/>
  <c r="D41" i="117"/>
  <c r="B42" i="117"/>
  <c r="D42" i="117"/>
  <c r="B43" i="117"/>
  <c r="D43" i="117"/>
  <c r="B44" i="117"/>
  <c r="D44" i="117"/>
  <c r="B45" i="117"/>
  <c r="D45" i="117"/>
  <c r="B46" i="117"/>
  <c r="D46" i="117"/>
  <c r="B47" i="117"/>
  <c r="D47" i="117"/>
  <c r="B48" i="117"/>
  <c r="D48" i="117"/>
  <c r="B49" i="117"/>
  <c r="D49" i="117"/>
  <c r="B50" i="117"/>
  <c r="D50" i="117"/>
  <c r="B51" i="117"/>
  <c r="D51" i="117"/>
  <c r="B52" i="117"/>
  <c r="D52" i="117"/>
  <c r="B53" i="117"/>
  <c r="D53" i="117"/>
  <c r="B54" i="117"/>
  <c r="D54" i="117"/>
  <c r="B55" i="117"/>
  <c r="D55" i="117"/>
  <c r="B56" i="117"/>
  <c r="D56" i="117"/>
  <c r="B57" i="117"/>
  <c r="D57" i="117"/>
  <c r="B58" i="117"/>
  <c r="D58" i="117"/>
  <c r="B59" i="117"/>
  <c r="D59" i="117"/>
  <c r="B60" i="117"/>
  <c r="D60" i="117"/>
  <c r="B66" i="117"/>
  <c r="D66" i="117"/>
  <c r="B67" i="117"/>
  <c r="D67" i="117"/>
  <c r="B68" i="117"/>
  <c r="D68" i="117"/>
  <c r="B69" i="117"/>
  <c r="D69" i="117"/>
  <c r="B70" i="117"/>
  <c r="D70" i="117"/>
  <c r="B71" i="117"/>
  <c r="D71" i="117"/>
  <c r="B72" i="117"/>
  <c r="D72" i="117"/>
  <c r="B73" i="117"/>
  <c r="D73" i="117"/>
  <c r="B74" i="117"/>
  <c r="D74" i="117"/>
  <c r="B75" i="117"/>
  <c r="D75" i="117"/>
  <c r="B76" i="117"/>
  <c r="D76" i="117"/>
  <c r="B77" i="117"/>
  <c r="D77" i="117"/>
  <c r="B78" i="117"/>
  <c r="D78" i="117"/>
  <c r="B79" i="117"/>
  <c r="D79" i="117"/>
  <c r="B80" i="117"/>
  <c r="D80" i="117"/>
  <c r="B81" i="117"/>
  <c r="D81" i="117"/>
  <c r="B82" i="117"/>
  <c r="D82" i="117"/>
  <c r="B83" i="117"/>
  <c r="D83" i="117"/>
  <c r="B84" i="117"/>
  <c r="D84" i="117"/>
  <c r="B85" i="117"/>
  <c r="D85" i="117"/>
  <c r="B86" i="117"/>
  <c r="D86" i="117"/>
  <c r="B87" i="117"/>
  <c r="D87" i="117"/>
  <c r="B88" i="117"/>
  <c r="D88" i="117"/>
  <c r="B89" i="117"/>
  <c r="D89" i="117"/>
  <c r="B90" i="117"/>
  <c r="D90" i="117"/>
  <c r="B96" i="117"/>
  <c r="D96" i="117"/>
  <c r="B97" i="117"/>
  <c r="D97" i="117"/>
  <c r="B98" i="117"/>
  <c r="D98" i="117"/>
  <c r="B99" i="117"/>
  <c r="D99" i="117"/>
  <c r="B100" i="117"/>
  <c r="D100" i="117"/>
  <c r="B101" i="117"/>
  <c r="D101" i="117"/>
  <c r="B102" i="117"/>
  <c r="D102" i="117"/>
  <c r="B103" i="117"/>
  <c r="D103" i="117"/>
  <c r="B104" i="117"/>
  <c r="D104" i="117"/>
  <c r="B105" i="117"/>
  <c r="D105" i="117"/>
  <c r="B106" i="117"/>
  <c r="D106" i="117"/>
  <c r="B107" i="117"/>
  <c r="D107" i="117"/>
  <c r="B108" i="117"/>
  <c r="D108" i="117"/>
  <c r="B109" i="117"/>
  <c r="D109" i="117"/>
  <c r="B110" i="117"/>
  <c r="D110" i="117"/>
  <c r="B111" i="117"/>
  <c r="D111" i="117"/>
  <c r="B112" i="117"/>
  <c r="D112" i="117"/>
  <c r="B113" i="117"/>
  <c r="D113" i="117"/>
  <c r="B114" i="117"/>
  <c r="D114" i="117"/>
  <c r="B115" i="117"/>
  <c r="D115" i="117"/>
  <c r="B116" i="117"/>
  <c r="D116" i="117"/>
  <c r="B117" i="117"/>
  <c r="D117" i="117"/>
  <c r="B118" i="117"/>
  <c r="D118" i="117"/>
  <c r="B119" i="117"/>
  <c r="D119" i="117"/>
  <c r="B120" i="117"/>
  <c r="D120" i="117"/>
  <c r="B125" i="117"/>
  <c r="D125" i="117"/>
  <c r="B126" i="117"/>
  <c r="D126" i="117"/>
  <c r="B127" i="117"/>
  <c r="D127" i="117"/>
  <c r="B128" i="117"/>
  <c r="D128" i="117"/>
  <c r="B129" i="117"/>
  <c r="D129" i="117"/>
  <c r="B130" i="117"/>
  <c r="D130" i="117"/>
  <c r="B131" i="117"/>
  <c r="D131" i="117"/>
  <c r="B132" i="117"/>
  <c r="D132" i="117"/>
  <c r="B133" i="117"/>
  <c r="D133" i="117"/>
  <c r="B134" i="117"/>
  <c r="D134" i="117"/>
  <c r="B135" i="117"/>
  <c r="D135" i="117"/>
  <c r="B136" i="117"/>
  <c r="D136" i="117"/>
  <c r="B137" i="117"/>
  <c r="D137" i="117"/>
  <c r="B138" i="117"/>
  <c r="D138" i="117"/>
  <c r="B139" i="117"/>
  <c r="D139" i="117"/>
  <c r="B140" i="117"/>
  <c r="D140" i="117"/>
  <c r="B141" i="117"/>
  <c r="D141" i="117"/>
  <c r="B142" i="117"/>
  <c r="D142" i="117"/>
  <c r="B143" i="117"/>
  <c r="D143" i="117"/>
  <c r="B144" i="117"/>
  <c r="D144" i="117"/>
  <c r="B145" i="117"/>
  <c r="D145" i="117"/>
  <c r="B146" i="117"/>
  <c r="D146" i="117"/>
  <c r="B147" i="117"/>
  <c r="D147" i="117"/>
  <c r="B148" i="117"/>
  <c r="D148" i="117"/>
  <c r="B149" i="117"/>
  <c r="D149" i="117"/>
  <c r="B154" i="117"/>
  <c r="D154" i="117"/>
  <c r="B155" i="117"/>
  <c r="D155" i="117"/>
  <c r="B156" i="117"/>
  <c r="D156" i="117"/>
  <c r="B157" i="117"/>
  <c r="D157" i="117"/>
  <c r="B158" i="117"/>
  <c r="D158" i="117"/>
  <c r="B159" i="117"/>
  <c r="D159" i="117"/>
  <c r="B160" i="117"/>
  <c r="D160" i="117"/>
  <c r="B161" i="117"/>
  <c r="D161" i="117"/>
  <c r="B162" i="117"/>
  <c r="D162" i="117"/>
  <c r="B163" i="117"/>
  <c r="D163" i="117"/>
  <c r="B164" i="117"/>
  <c r="D164" i="117"/>
  <c r="B165" i="117"/>
  <c r="D165" i="117"/>
  <c r="B166" i="117"/>
  <c r="D166" i="117"/>
  <c r="B167" i="117"/>
  <c r="D167" i="117"/>
  <c r="B168" i="117"/>
  <c r="D168" i="117"/>
  <c r="B169" i="117"/>
  <c r="D169" i="117"/>
  <c r="B170" i="117"/>
  <c r="D170" i="117"/>
  <c r="B171" i="117"/>
  <c r="D171" i="117"/>
  <c r="B172" i="117"/>
  <c r="D172" i="117"/>
  <c r="B173" i="117"/>
  <c r="D173" i="117"/>
  <c r="B174" i="117"/>
  <c r="D174" i="117"/>
  <c r="B175" i="117"/>
  <c r="D175" i="117"/>
  <c r="B176" i="117"/>
  <c r="D176" i="117"/>
  <c r="B177" i="117"/>
  <c r="D177" i="117"/>
  <c r="B178" i="117"/>
  <c r="D178" i="117"/>
  <c r="B184" i="117"/>
  <c r="C184" i="117"/>
  <c r="E184" i="117"/>
  <c r="B185" i="117"/>
  <c r="C185" i="117"/>
  <c r="E185" i="117"/>
  <c r="B186" i="117"/>
  <c r="C186" i="117"/>
  <c r="E186" i="117"/>
  <c r="B187" i="117"/>
  <c r="C187" i="117"/>
  <c r="E187" i="117"/>
  <c r="B188" i="117"/>
  <c r="C188" i="117"/>
  <c r="E188" i="117"/>
  <c r="B189" i="117"/>
  <c r="C189" i="117"/>
  <c r="E189" i="117"/>
  <c r="B190" i="117"/>
  <c r="C190" i="117"/>
  <c r="E190" i="117"/>
  <c r="B191" i="117"/>
  <c r="C191" i="117"/>
  <c r="E191" i="117"/>
  <c r="B192" i="117"/>
  <c r="C192" i="117"/>
  <c r="E192" i="117"/>
  <c r="B193" i="117"/>
  <c r="C193" i="117"/>
  <c r="E193" i="117"/>
  <c r="B194" i="117"/>
  <c r="C194" i="117"/>
  <c r="E194" i="117"/>
  <c r="B195" i="117"/>
  <c r="C195" i="117"/>
  <c r="E195" i="117"/>
  <c r="B196" i="117"/>
  <c r="C196" i="117"/>
  <c r="E196" i="117"/>
  <c r="B197" i="117"/>
  <c r="C197" i="117"/>
  <c r="E197" i="117"/>
  <c r="B198" i="117"/>
  <c r="C198" i="117"/>
  <c r="E198" i="117"/>
  <c r="B199" i="117"/>
  <c r="C199" i="117"/>
  <c r="E199" i="117"/>
  <c r="B200" i="117"/>
  <c r="C200" i="117"/>
  <c r="E200" i="117"/>
  <c r="B201" i="117"/>
  <c r="C201" i="117"/>
  <c r="E201" i="117"/>
  <c r="B202" i="117"/>
  <c r="C202" i="117"/>
  <c r="E202" i="117"/>
  <c r="B203" i="117"/>
  <c r="C203" i="117"/>
  <c r="E203" i="117"/>
  <c r="B204" i="117"/>
  <c r="C204" i="117"/>
  <c r="E204" i="117"/>
  <c r="B205" i="117"/>
  <c r="C205" i="117"/>
  <c r="E205" i="117"/>
  <c r="B206" i="117"/>
  <c r="C206" i="117"/>
  <c r="E206" i="117"/>
  <c r="B207" i="117"/>
  <c r="C207" i="117"/>
  <c r="E207" i="117"/>
  <c r="B208" i="117"/>
  <c r="C208" i="117"/>
  <c r="E208" i="117"/>
  <c r="B213" i="117"/>
  <c r="C213" i="117"/>
  <c r="E213" i="117"/>
  <c r="B214" i="117"/>
  <c r="C214" i="117"/>
  <c r="E214" i="117"/>
  <c r="B215" i="117"/>
  <c r="C215" i="117"/>
  <c r="E215" i="117"/>
  <c r="B216" i="117"/>
  <c r="C216" i="117"/>
  <c r="E216" i="117"/>
  <c r="B217" i="117"/>
  <c r="C217" i="117"/>
  <c r="E217" i="117"/>
  <c r="B218" i="117"/>
  <c r="C218" i="117"/>
  <c r="E218" i="117"/>
  <c r="B219" i="117"/>
  <c r="C219" i="117"/>
  <c r="E219" i="117"/>
  <c r="B220" i="117"/>
  <c r="C220" i="117"/>
  <c r="E220" i="117"/>
  <c r="B221" i="117"/>
  <c r="C221" i="117"/>
  <c r="E221" i="117"/>
  <c r="B222" i="117"/>
  <c r="C222" i="117"/>
  <c r="E222" i="117"/>
  <c r="B223" i="117"/>
  <c r="C223" i="117"/>
  <c r="E223" i="117"/>
  <c r="B224" i="117"/>
  <c r="C224" i="117"/>
  <c r="E224" i="117"/>
  <c r="B225" i="117"/>
  <c r="C225" i="117"/>
  <c r="E225" i="117"/>
  <c r="B226" i="117"/>
  <c r="C226" i="117"/>
  <c r="E226" i="117"/>
  <c r="B227" i="117"/>
  <c r="C227" i="117"/>
  <c r="E227" i="117"/>
  <c r="B228" i="117"/>
  <c r="C228" i="117"/>
  <c r="E228" i="117"/>
  <c r="B229" i="117"/>
  <c r="C229" i="117"/>
  <c r="E229" i="117"/>
  <c r="B230" i="117"/>
  <c r="C230" i="117"/>
  <c r="E230" i="117"/>
  <c r="B231" i="117"/>
  <c r="C231" i="117"/>
  <c r="E231" i="117"/>
  <c r="B232" i="117"/>
  <c r="C232" i="117"/>
  <c r="E232" i="117"/>
  <c r="B233" i="117"/>
  <c r="C233" i="117"/>
  <c r="E233" i="117"/>
  <c r="B234" i="117"/>
  <c r="C234" i="117"/>
  <c r="E234" i="117"/>
  <c r="B235" i="117"/>
  <c r="C235" i="117"/>
  <c r="E235" i="117"/>
  <c r="B236" i="117"/>
  <c r="C236" i="117"/>
  <c r="E236" i="117"/>
  <c r="B237" i="117"/>
  <c r="C237" i="117"/>
  <c r="E237" i="117"/>
  <c r="B2" i="116"/>
  <c r="B3" i="116"/>
  <c r="B4" i="116"/>
  <c r="B5" i="116"/>
  <c r="B6" i="116"/>
  <c r="B7" i="116"/>
  <c r="B8" i="116"/>
  <c r="B9" i="116"/>
  <c r="B10" i="116"/>
  <c r="B11" i="116"/>
  <c r="B12" i="116"/>
  <c r="B13" i="116"/>
  <c r="B14" i="116"/>
  <c r="B15" i="116"/>
  <c r="B16" i="116"/>
  <c r="B17" i="116"/>
  <c r="B18" i="116"/>
  <c r="B19" i="116"/>
  <c r="B20" i="116"/>
  <c r="B21" i="116"/>
  <c r="B22" i="116"/>
  <c r="B23" i="116"/>
  <c r="B24" i="116"/>
  <c r="B25" i="116"/>
  <c r="B26" i="116"/>
  <c r="D64" i="113"/>
  <c r="D65" i="113"/>
  <c r="D66" i="113"/>
  <c r="D67" i="113"/>
  <c r="D68" i="113"/>
  <c r="D69" i="113"/>
  <c r="D70" i="113"/>
  <c r="D71" i="113"/>
  <c r="D72" i="113"/>
  <c r="D73" i="113"/>
  <c r="D74" i="113"/>
  <c r="D75" i="113"/>
  <c r="D76" i="113"/>
  <c r="D77" i="113"/>
  <c r="D78" i="113"/>
  <c r="D79" i="113"/>
  <c r="D80" i="113"/>
  <c r="D81" i="113"/>
  <c r="D82" i="113"/>
  <c r="D83" i="113"/>
  <c r="D84" i="113"/>
  <c r="D85" i="113"/>
  <c r="D86" i="113"/>
  <c r="D87" i="113"/>
  <c r="D63" i="113"/>
  <c r="C64" i="113"/>
  <c r="C65" i="113"/>
  <c r="C66" i="113"/>
  <c r="C67" i="113"/>
  <c r="C68" i="113"/>
  <c r="C69" i="113"/>
  <c r="C70" i="113"/>
  <c r="C71" i="113"/>
  <c r="C72" i="113"/>
  <c r="C73" i="113"/>
  <c r="C74" i="113"/>
  <c r="C75" i="113"/>
  <c r="C76" i="113"/>
  <c r="C77" i="113"/>
  <c r="C78" i="113"/>
  <c r="C79" i="113"/>
  <c r="C80" i="113"/>
  <c r="C81" i="113"/>
  <c r="C82" i="113"/>
  <c r="C83" i="113"/>
  <c r="C84" i="113"/>
  <c r="C85" i="113"/>
  <c r="C86" i="113"/>
  <c r="C87" i="113"/>
  <c r="C63" i="113"/>
  <c r="B64" i="113"/>
  <c r="B65" i="113"/>
  <c r="B66" i="113"/>
  <c r="B67" i="113"/>
  <c r="B68" i="113"/>
  <c r="B69" i="113"/>
  <c r="B70" i="113"/>
  <c r="B71" i="113"/>
  <c r="B72" i="113"/>
  <c r="B73" i="113"/>
  <c r="B74" i="113"/>
  <c r="B75" i="113"/>
  <c r="B76" i="113"/>
  <c r="B77" i="113"/>
  <c r="B78" i="113"/>
  <c r="B79" i="113"/>
  <c r="B80" i="113"/>
  <c r="B81" i="113"/>
  <c r="B82" i="113"/>
  <c r="B83" i="113"/>
  <c r="B84" i="113"/>
  <c r="B85" i="113"/>
  <c r="B86" i="113"/>
  <c r="B87" i="113"/>
  <c r="B63" i="113"/>
  <c r="D64" i="101"/>
  <c r="D65" i="101"/>
  <c r="D66" i="101"/>
  <c r="D67" i="101"/>
  <c r="D68" i="101"/>
  <c r="D69" i="101"/>
  <c r="D70" i="101"/>
  <c r="D71" i="101"/>
  <c r="D72" i="101"/>
  <c r="D73" i="101"/>
  <c r="D74" i="101"/>
  <c r="D75" i="101"/>
  <c r="D76" i="101"/>
  <c r="D77" i="101"/>
  <c r="D78" i="101"/>
  <c r="D79" i="101"/>
  <c r="D80" i="101"/>
  <c r="D81" i="101"/>
  <c r="D82" i="101"/>
  <c r="D83" i="101"/>
  <c r="D84" i="101"/>
  <c r="D85" i="101"/>
  <c r="D86" i="101"/>
  <c r="D87" i="101"/>
  <c r="D63" i="101"/>
  <c r="C64" i="101"/>
  <c r="C65" i="101"/>
  <c r="C66" i="101"/>
  <c r="C67" i="101"/>
  <c r="C68" i="101"/>
  <c r="C69" i="101"/>
  <c r="C70" i="101"/>
  <c r="C71" i="101"/>
  <c r="C72" i="101"/>
  <c r="C73" i="101"/>
  <c r="C74" i="101"/>
  <c r="C75" i="101"/>
  <c r="C76" i="101"/>
  <c r="C77" i="101"/>
  <c r="C78" i="101"/>
  <c r="C79" i="101"/>
  <c r="C80" i="101"/>
  <c r="C81" i="101"/>
  <c r="C82" i="101"/>
  <c r="C83" i="101"/>
  <c r="C84" i="101"/>
  <c r="C85" i="101"/>
  <c r="C86" i="101"/>
  <c r="C87" i="101"/>
  <c r="C63" i="101"/>
  <c r="B64" i="101"/>
  <c r="B65" i="101"/>
  <c r="B66" i="101"/>
  <c r="B67" i="101"/>
  <c r="B68" i="101"/>
  <c r="B69" i="101"/>
  <c r="B70" i="101"/>
  <c r="B71" i="101"/>
  <c r="B72" i="101"/>
  <c r="B73" i="101"/>
  <c r="B74" i="101"/>
  <c r="B75" i="101"/>
  <c r="B76" i="101"/>
  <c r="B77" i="101"/>
  <c r="B78" i="101"/>
  <c r="B79" i="101"/>
  <c r="B80" i="101"/>
  <c r="B81" i="101"/>
  <c r="B82" i="101"/>
  <c r="B83" i="101"/>
  <c r="B84" i="101"/>
  <c r="B85" i="101"/>
  <c r="B86" i="101"/>
  <c r="B87" i="101"/>
  <c r="B63" i="101"/>
  <c r="D64" i="99"/>
  <c r="D65" i="99"/>
  <c r="D66" i="99"/>
  <c r="D67" i="99"/>
  <c r="D68" i="99"/>
  <c r="D69" i="99"/>
  <c r="D70" i="99"/>
  <c r="D71" i="99"/>
  <c r="D72" i="99"/>
  <c r="D73" i="99"/>
  <c r="D74" i="99"/>
  <c r="D75" i="99"/>
  <c r="D76" i="99"/>
  <c r="D77" i="99"/>
  <c r="D78" i="99"/>
  <c r="D79" i="99"/>
  <c r="D80" i="99"/>
  <c r="D81" i="99"/>
  <c r="D82" i="99"/>
  <c r="D83" i="99"/>
  <c r="D84" i="99"/>
  <c r="D85" i="99"/>
  <c r="D86" i="99"/>
  <c r="D87" i="99"/>
  <c r="D63" i="99"/>
  <c r="C64" i="99"/>
  <c r="C65" i="99"/>
  <c r="C66" i="99"/>
  <c r="C67" i="99"/>
  <c r="C68" i="99"/>
  <c r="C69" i="99"/>
  <c r="C70" i="99"/>
  <c r="C71" i="99"/>
  <c r="C72" i="99"/>
  <c r="C73" i="99"/>
  <c r="C74" i="99"/>
  <c r="C75" i="99"/>
  <c r="C76" i="99"/>
  <c r="C77" i="99"/>
  <c r="C78" i="99"/>
  <c r="C79" i="99"/>
  <c r="C80" i="99"/>
  <c r="C81" i="99"/>
  <c r="C82" i="99"/>
  <c r="C83" i="99"/>
  <c r="C84" i="99"/>
  <c r="C85" i="99"/>
  <c r="C86" i="99"/>
  <c r="C87" i="99"/>
  <c r="C63" i="99"/>
  <c r="B64" i="99"/>
  <c r="B65" i="99"/>
  <c r="B66" i="99"/>
  <c r="B67" i="99"/>
  <c r="B68" i="99"/>
  <c r="B69" i="99"/>
  <c r="B70" i="99"/>
  <c r="B71" i="99"/>
  <c r="B72" i="99"/>
  <c r="B73" i="99"/>
  <c r="B74" i="99"/>
  <c r="B75" i="99"/>
  <c r="B76" i="99"/>
  <c r="B77" i="99"/>
  <c r="B78" i="99"/>
  <c r="B79" i="99"/>
  <c r="B80" i="99"/>
  <c r="B81" i="99"/>
  <c r="B82" i="99"/>
  <c r="B83" i="99"/>
  <c r="B84" i="99"/>
  <c r="B85" i="99"/>
  <c r="B86" i="99"/>
  <c r="B87" i="99"/>
  <c r="B63" i="99"/>
  <c r="D64" i="92"/>
  <c r="D65" i="92"/>
  <c r="D66" i="92"/>
  <c r="D67" i="92"/>
  <c r="D68" i="92"/>
  <c r="D69" i="92"/>
  <c r="D70" i="92"/>
  <c r="D71" i="92"/>
  <c r="D72" i="92"/>
  <c r="D73" i="92"/>
  <c r="D74" i="92"/>
  <c r="D75" i="92"/>
  <c r="D76" i="92"/>
  <c r="D77" i="92"/>
  <c r="D78" i="92"/>
  <c r="D79" i="92"/>
  <c r="D80" i="92"/>
  <c r="D81" i="92"/>
  <c r="D82" i="92"/>
  <c r="D83" i="92"/>
  <c r="D84" i="92"/>
  <c r="D85" i="92"/>
  <c r="D86" i="92"/>
  <c r="D87" i="92"/>
  <c r="D63" i="92"/>
  <c r="C64" i="92"/>
  <c r="C65" i="92"/>
  <c r="C66" i="92"/>
  <c r="C67" i="92"/>
  <c r="C68" i="92"/>
  <c r="C69" i="92"/>
  <c r="C70" i="92"/>
  <c r="C71" i="92"/>
  <c r="C72" i="92"/>
  <c r="C73" i="92"/>
  <c r="C74" i="92"/>
  <c r="C75" i="92"/>
  <c r="C76" i="92"/>
  <c r="C77" i="92"/>
  <c r="C78" i="92"/>
  <c r="C79" i="92"/>
  <c r="C80" i="92"/>
  <c r="C81" i="92"/>
  <c r="C82" i="92"/>
  <c r="C83" i="92"/>
  <c r="C84" i="92"/>
  <c r="C85" i="92"/>
  <c r="C86" i="92"/>
  <c r="C87" i="92"/>
  <c r="C63" i="92"/>
  <c r="B64" i="92"/>
  <c r="B65" i="92"/>
  <c r="B66" i="92"/>
  <c r="B67" i="92"/>
  <c r="B68" i="92"/>
  <c r="B69" i="92"/>
  <c r="B70" i="92"/>
  <c r="B71" i="92"/>
  <c r="B72" i="92"/>
  <c r="B73" i="92"/>
  <c r="B74" i="92"/>
  <c r="B75" i="92"/>
  <c r="B76" i="92"/>
  <c r="B77" i="92"/>
  <c r="B78" i="92"/>
  <c r="B79" i="92"/>
  <c r="B80" i="92"/>
  <c r="B81" i="92"/>
  <c r="B82" i="92"/>
  <c r="B83" i="92"/>
  <c r="B84" i="92"/>
  <c r="B85" i="92"/>
  <c r="B86" i="92"/>
  <c r="B87" i="92"/>
  <c r="B63" i="92"/>
  <c r="D64" i="85"/>
  <c r="D65" i="85"/>
  <c r="D66" i="85"/>
  <c r="D67" i="85"/>
  <c r="D68" i="85"/>
  <c r="D69" i="85"/>
  <c r="D70" i="85"/>
  <c r="D71" i="85"/>
  <c r="D72" i="85"/>
  <c r="D73" i="85"/>
  <c r="D74" i="85"/>
  <c r="D75" i="85"/>
  <c r="D76" i="85"/>
  <c r="D77" i="85"/>
  <c r="D78" i="85"/>
  <c r="D79" i="85"/>
  <c r="D80" i="85"/>
  <c r="D81" i="85"/>
  <c r="D82" i="85"/>
  <c r="D83" i="85"/>
  <c r="D84" i="85"/>
  <c r="D85" i="85"/>
  <c r="D86" i="85"/>
  <c r="D87" i="85"/>
  <c r="D63" i="85"/>
  <c r="B154" i="82"/>
  <c r="C64" i="85"/>
  <c r="C65" i="85"/>
  <c r="C66" i="85"/>
  <c r="C67" i="85"/>
  <c r="C68" i="85"/>
  <c r="C69" i="85"/>
  <c r="C70" i="85"/>
  <c r="C71" i="85"/>
  <c r="C72" i="85"/>
  <c r="C73" i="85"/>
  <c r="C74" i="85"/>
  <c r="C75" i="85"/>
  <c r="C76" i="85"/>
  <c r="C77" i="85"/>
  <c r="C78" i="85"/>
  <c r="C79" i="85"/>
  <c r="C80" i="85"/>
  <c r="C81" i="85"/>
  <c r="C82" i="85"/>
  <c r="C83" i="85"/>
  <c r="C84" i="85"/>
  <c r="C85" i="85"/>
  <c r="C86" i="85"/>
  <c r="C87" i="85"/>
  <c r="C63" i="85"/>
  <c r="B64" i="85"/>
  <c r="B65" i="85"/>
  <c r="B66" i="85"/>
  <c r="B67" i="85"/>
  <c r="B68" i="85"/>
  <c r="B69" i="85"/>
  <c r="B70" i="85"/>
  <c r="B71" i="85"/>
  <c r="B72" i="85"/>
  <c r="B73" i="85"/>
  <c r="B74" i="85"/>
  <c r="B75" i="85"/>
  <c r="B76" i="85"/>
  <c r="B77" i="85"/>
  <c r="B78" i="85"/>
  <c r="B79" i="85"/>
  <c r="B80" i="85"/>
  <c r="B81" i="85"/>
  <c r="B82" i="85"/>
  <c r="B83" i="85"/>
  <c r="B84" i="85"/>
  <c r="B85" i="85"/>
  <c r="B86" i="85"/>
  <c r="B87" i="85"/>
  <c r="B63" i="85"/>
  <c r="B5" i="113"/>
  <c r="F5" i="113"/>
  <c r="B6" i="113"/>
  <c r="F6" i="113"/>
  <c r="B7" i="113"/>
  <c r="F7" i="113"/>
  <c r="B8" i="113"/>
  <c r="F8" i="113"/>
  <c r="B9" i="113"/>
  <c r="F9" i="113"/>
  <c r="B10" i="113"/>
  <c r="F10" i="113"/>
  <c r="B11" i="113"/>
  <c r="F11" i="113"/>
  <c r="B12" i="113"/>
  <c r="F12" i="113"/>
  <c r="B13" i="113"/>
  <c r="F13" i="113"/>
  <c r="B14" i="113"/>
  <c r="F14" i="113"/>
  <c r="B15" i="113"/>
  <c r="F15" i="113"/>
  <c r="B16" i="113"/>
  <c r="F16" i="113"/>
  <c r="B17" i="113"/>
  <c r="F17" i="113"/>
  <c r="B18" i="113"/>
  <c r="F18" i="113"/>
  <c r="B19" i="113"/>
  <c r="F19" i="113"/>
  <c r="B20" i="113"/>
  <c r="F20" i="113"/>
  <c r="B21" i="113"/>
  <c r="F21" i="113"/>
  <c r="B22" i="113"/>
  <c r="F22" i="113"/>
  <c r="B23" i="113"/>
  <c r="F23" i="113"/>
  <c r="B24" i="113"/>
  <c r="F24" i="113"/>
  <c r="B25" i="113"/>
  <c r="F25" i="113"/>
  <c r="B26" i="113"/>
  <c r="F26" i="113"/>
  <c r="B27" i="113"/>
  <c r="F27" i="113"/>
  <c r="B28" i="113"/>
  <c r="F28" i="113"/>
  <c r="B29" i="113"/>
  <c r="F29" i="113"/>
  <c r="B34" i="113"/>
  <c r="G34" i="113"/>
  <c r="B35" i="113"/>
  <c r="G35" i="113"/>
  <c r="B36" i="113"/>
  <c r="G36" i="113"/>
  <c r="B37" i="113"/>
  <c r="G37" i="113"/>
  <c r="B38" i="113"/>
  <c r="G38" i="113"/>
  <c r="B39" i="113"/>
  <c r="G39" i="113"/>
  <c r="B40" i="113"/>
  <c r="G40" i="113"/>
  <c r="B41" i="113"/>
  <c r="G41" i="113"/>
  <c r="B42" i="113"/>
  <c r="G42" i="113"/>
  <c r="B43" i="113"/>
  <c r="G43" i="113"/>
  <c r="B44" i="113"/>
  <c r="G44" i="113"/>
  <c r="B45" i="113"/>
  <c r="G45" i="113"/>
  <c r="B46" i="113"/>
  <c r="G46" i="113"/>
  <c r="B47" i="113"/>
  <c r="G47" i="113"/>
  <c r="B48" i="113"/>
  <c r="G48" i="113"/>
  <c r="B49" i="113"/>
  <c r="G49" i="113"/>
  <c r="B50" i="113"/>
  <c r="G50" i="113"/>
  <c r="B51" i="113"/>
  <c r="G51" i="113"/>
  <c r="B52" i="113"/>
  <c r="G52" i="113"/>
  <c r="B53" i="113"/>
  <c r="G53" i="113"/>
  <c r="B54" i="113"/>
  <c r="G54" i="113"/>
  <c r="B55" i="113"/>
  <c r="G55" i="113"/>
  <c r="B56" i="113"/>
  <c r="G56" i="113"/>
  <c r="B57" i="113"/>
  <c r="G57" i="113"/>
  <c r="B58" i="113"/>
  <c r="G58" i="113"/>
  <c r="E63" i="113"/>
  <c r="E64" i="113"/>
  <c r="E65" i="113"/>
  <c r="E66" i="113"/>
  <c r="E67" i="113"/>
  <c r="E68" i="113"/>
  <c r="E69" i="113"/>
  <c r="E70" i="113"/>
  <c r="E71" i="113"/>
  <c r="E72" i="113"/>
  <c r="E73" i="113"/>
  <c r="E74" i="113"/>
  <c r="E75" i="113"/>
  <c r="E76" i="113"/>
  <c r="E77" i="113"/>
  <c r="E78" i="113"/>
  <c r="E79" i="113"/>
  <c r="E80" i="113"/>
  <c r="E81" i="113"/>
  <c r="E82" i="113"/>
  <c r="E83" i="113"/>
  <c r="E84" i="113"/>
  <c r="E85" i="113"/>
  <c r="E86" i="113"/>
  <c r="E87" i="113"/>
  <c r="C6" i="112"/>
  <c r="E6" i="112"/>
  <c r="C7" i="112"/>
  <c r="E7" i="112"/>
  <c r="C8" i="112"/>
  <c r="E8" i="112"/>
  <c r="C9" i="112"/>
  <c r="E9" i="112"/>
  <c r="C10" i="112"/>
  <c r="E10" i="112"/>
  <c r="C11" i="112"/>
  <c r="E11" i="112"/>
  <c r="C12" i="112"/>
  <c r="E12" i="112"/>
  <c r="C13" i="112"/>
  <c r="E13" i="112"/>
  <c r="C14" i="112"/>
  <c r="E14" i="112"/>
  <c r="C15" i="112"/>
  <c r="E15" i="112"/>
  <c r="C16" i="112"/>
  <c r="E16" i="112"/>
  <c r="C17" i="112"/>
  <c r="E17" i="112"/>
  <c r="C18" i="112"/>
  <c r="E18" i="112"/>
  <c r="C19" i="112"/>
  <c r="E19" i="112"/>
  <c r="C20" i="112"/>
  <c r="E20" i="112"/>
  <c r="C21" i="112"/>
  <c r="E21" i="112"/>
  <c r="C22" i="112"/>
  <c r="E22" i="112"/>
  <c r="C23" i="112"/>
  <c r="E23" i="112"/>
  <c r="C24" i="112"/>
  <c r="E24" i="112"/>
  <c r="C25" i="112"/>
  <c r="E25" i="112"/>
  <c r="C26" i="112"/>
  <c r="E26" i="112"/>
  <c r="C27" i="112"/>
  <c r="E27" i="112"/>
  <c r="C28" i="112"/>
  <c r="E28" i="112"/>
  <c r="C29" i="112"/>
  <c r="E29" i="112"/>
  <c r="C30" i="112"/>
  <c r="E30" i="112"/>
  <c r="C37" i="112"/>
  <c r="E37" i="112"/>
  <c r="C38" i="112"/>
  <c r="E38" i="112"/>
  <c r="C39" i="112"/>
  <c r="E39" i="112"/>
  <c r="C40" i="112"/>
  <c r="E40" i="112"/>
  <c r="C41" i="112"/>
  <c r="E41" i="112"/>
  <c r="C42" i="112"/>
  <c r="E42" i="112"/>
  <c r="C43" i="112"/>
  <c r="E43" i="112"/>
  <c r="C44" i="112"/>
  <c r="E44" i="112"/>
  <c r="C45" i="112"/>
  <c r="E45" i="112"/>
  <c r="C46" i="112"/>
  <c r="E46" i="112"/>
  <c r="C47" i="112"/>
  <c r="E47" i="112"/>
  <c r="C48" i="112"/>
  <c r="E48" i="112"/>
  <c r="C49" i="112"/>
  <c r="E49" i="112"/>
  <c r="C50" i="112"/>
  <c r="E50" i="112"/>
  <c r="C51" i="112"/>
  <c r="E51" i="112"/>
  <c r="C52" i="112"/>
  <c r="E52" i="112"/>
  <c r="C53" i="112"/>
  <c r="E53" i="112"/>
  <c r="C54" i="112"/>
  <c r="E54" i="112"/>
  <c r="C55" i="112"/>
  <c r="E55" i="112"/>
  <c r="C56" i="112"/>
  <c r="E56" i="112"/>
  <c r="C57" i="112"/>
  <c r="E57" i="112"/>
  <c r="C58" i="112"/>
  <c r="E58" i="112"/>
  <c r="C59" i="112"/>
  <c r="E59" i="112"/>
  <c r="C60" i="112"/>
  <c r="E60" i="112"/>
  <c r="C61" i="112"/>
  <c r="E61" i="112"/>
  <c r="C68" i="112"/>
  <c r="D68" i="112"/>
  <c r="E68" i="112"/>
  <c r="C69" i="112"/>
  <c r="D69" i="112"/>
  <c r="E69" i="112"/>
  <c r="C70" i="112"/>
  <c r="D70" i="112"/>
  <c r="E70" i="112"/>
  <c r="C71" i="112"/>
  <c r="D71" i="112"/>
  <c r="E71" i="112"/>
  <c r="C72" i="112"/>
  <c r="D72" i="112"/>
  <c r="E72" i="112"/>
  <c r="C73" i="112"/>
  <c r="D73" i="112"/>
  <c r="E73" i="112"/>
  <c r="C74" i="112"/>
  <c r="D74" i="112"/>
  <c r="E74" i="112"/>
  <c r="C75" i="112"/>
  <c r="D75" i="112"/>
  <c r="E75" i="112"/>
  <c r="C76" i="112"/>
  <c r="D76" i="112"/>
  <c r="E76" i="112"/>
  <c r="C77" i="112"/>
  <c r="D77" i="112"/>
  <c r="E77" i="112"/>
  <c r="C78" i="112"/>
  <c r="D78" i="112"/>
  <c r="E78" i="112"/>
  <c r="C79" i="112"/>
  <c r="D79" i="112"/>
  <c r="E79" i="112"/>
  <c r="C80" i="112"/>
  <c r="D80" i="112"/>
  <c r="E80" i="112"/>
  <c r="C81" i="112"/>
  <c r="D81" i="112"/>
  <c r="E81" i="112"/>
  <c r="C82" i="112"/>
  <c r="D82" i="112"/>
  <c r="E82" i="112"/>
  <c r="C83" i="112"/>
  <c r="D83" i="112"/>
  <c r="E83" i="112"/>
  <c r="C84" i="112"/>
  <c r="D84" i="112"/>
  <c r="E84" i="112"/>
  <c r="C85" i="112"/>
  <c r="D85" i="112"/>
  <c r="E85" i="112"/>
  <c r="C86" i="112"/>
  <c r="D86" i="112"/>
  <c r="E86" i="112"/>
  <c r="C87" i="112"/>
  <c r="D87" i="112"/>
  <c r="E87" i="112"/>
  <c r="C88" i="112"/>
  <c r="D88" i="112"/>
  <c r="E88" i="112"/>
  <c r="C89" i="112"/>
  <c r="D89" i="112"/>
  <c r="E89" i="112"/>
  <c r="C90" i="112"/>
  <c r="D90" i="112"/>
  <c r="E90" i="112"/>
  <c r="C91" i="112"/>
  <c r="D91" i="112"/>
  <c r="E91" i="112"/>
  <c r="C92" i="112"/>
  <c r="D92" i="112"/>
  <c r="E92" i="112"/>
  <c r="B6" i="111"/>
  <c r="D6" i="111"/>
  <c r="B7" i="111"/>
  <c r="D7" i="111"/>
  <c r="B8" i="111"/>
  <c r="D8" i="111"/>
  <c r="B9" i="111"/>
  <c r="D9" i="111"/>
  <c r="B10" i="111"/>
  <c r="D10" i="111"/>
  <c r="B11" i="111"/>
  <c r="D11" i="111"/>
  <c r="B12" i="111"/>
  <c r="D12" i="111"/>
  <c r="B13" i="111"/>
  <c r="D13" i="111"/>
  <c r="B14" i="111"/>
  <c r="D14" i="111"/>
  <c r="B15" i="111"/>
  <c r="D15" i="111"/>
  <c r="B16" i="111"/>
  <c r="D16" i="111"/>
  <c r="B17" i="111"/>
  <c r="D17" i="111"/>
  <c r="B18" i="111"/>
  <c r="D18" i="111"/>
  <c r="B19" i="111"/>
  <c r="D19" i="111"/>
  <c r="B20" i="111"/>
  <c r="D20" i="111"/>
  <c r="B21" i="111"/>
  <c r="D21" i="111"/>
  <c r="B22" i="111"/>
  <c r="D22" i="111"/>
  <c r="B23" i="111"/>
  <c r="D23" i="111"/>
  <c r="B24" i="111"/>
  <c r="D24" i="111"/>
  <c r="B25" i="111"/>
  <c r="D25" i="111"/>
  <c r="B26" i="111"/>
  <c r="D26" i="111"/>
  <c r="B27" i="111"/>
  <c r="D27" i="111"/>
  <c r="B28" i="111"/>
  <c r="D28" i="111"/>
  <c r="B29" i="111"/>
  <c r="D29" i="111"/>
  <c r="B30" i="111"/>
  <c r="D30" i="111"/>
  <c r="B36" i="111"/>
  <c r="D36" i="111"/>
  <c r="B37" i="111"/>
  <c r="D37" i="111"/>
  <c r="B38" i="111"/>
  <c r="D38" i="111"/>
  <c r="B39" i="111"/>
  <c r="D39" i="111"/>
  <c r="B40" i="111"/>
  <c r="D40" i="111"/>
  <c r="B41" i="111"/>
  <c r="D41" i="111"/>
  <c r="B42" i="111"/>
  <c r="D42" i="111"/>
  <c r="B43" i="111"/>
  <c r="D43" i="111"/>
  <c r="B44" i="111"/>
  <c r="D44" i="111"/>
  <c r="B45" i="111"/>
  <c r="D45" i="111"/>
  <c r="B46" i="111"/>
  <c r="D46" i="111"/>
  <c r="B47" i="111"/>
  <c r="D47" i="111"/>
  <c r="B48" i="111"/>
  <c r="D48" i="111"/>
  <c r="B49" i="111"/>
  <c r="D49" i="111"/>
  <c r="B50" i="111"/>
  <c r="D50" i="111"/>
  <c r="B51" i="111"/>
  <c r="D51" i="111"/>
  <c r="B52" i="111"/>
  <c r="D52" i="111"/>
  <c r="B53" i="111"/>
  <c r="D53" i="111"/>
  <c r="B54" i="111"/>
  <c r="D54" i="111"/>
  <c r="B55" i="111"/>
  <c r="D55" i="111"/>
  <c r="B56" i="111"/>
  <c r="D56" i="111"/>
  <c r="B57" i="111"/>
  <c r="D57" i="111"/>
  <c r="B58" i="111"/>
  <c r="D58" i="111"/>
  <c r="B59" i="111"/>
  <c r="D59" i="111"/>
  <c r="B60" i="111"/>
  <c r="D60" i="111"/>
  <c r="B65" i="111"/>
  <c r="D65" i="111"/>
  <c r="B66" i="111"/>
  <c r="D66" i="111"/>
  <c r="B67" i="111"/>
  <c r="D67" i="111"/>
  <c r="B68" i="111"/>
  <c r="D68" i="111"/>
  <c r="B69" i="111"/>
  <c r="D69" i="111"/>
  <c r="B70" i="111"/>
  <c r="D70" i="111"/>
  <c r="B71" i="111"/>
  <c r="D71" i="111"/>
  <c r="B72" i="111"/>
  <c r="D72" i="111"/>
  <c r="B73" i="111"/>
  <c r="D73" i="111"/>
  <c r="B74" i="111"/>
  <c r="D74" i="111"/>
  <c r="B75" i="111"/>
  <c r="D75" i="111"/>
  <c r="B76" i="111"/>
  <c r="D76" i="111"/>
  <c r="B77" i="111"/>
  <c r="D77" i="111"/>
  <c r="B78" i="111"/>
  <c r="D78" i="111"/>
  <c r="B79" i="111"/>
  <c r="D79" i="111"/>
  <c r="B80" i="111"/>
  <c r="D80" i="111"/>
  <c r="B81" i="111"/>
  <c r="D81" i="111"/>
  <c r="B82" i="111"/>
  <c r="D82" i="111"/>
  <c r="B83" i="111"/>
  <c r="D83" i="111"/>
  <c r="B84" i="111"/>
  <c r="D84" i="111"/>
  <c r="B85" i="111"/>
  <c r="D85" i="111"/>
  <c r="B86" i="111"/>
  <c r="D86" i="111"/>
  <c r="B87" i="111"/>
  <c r="D87" i="111"/>
  <c r="B88" i="111"/>
  <c r="D88" i="111"/>
  <c r="B89" i="111"/>
  <c r="D89" i="111"/>
  <c r="B97" i="111"/>
  <c r="D97" i="111"/>
  <c r="B98" i="111"/>
  <c r="D98" i="111"/>
  <c r="B99" i="111"/>
  <c r="D99" i="111"/>
  <c r="B100" i="111"/>
  <c r="D100" i="111"/>
  <c r="B101" i="111"/>
  <c r="D101" i="111"/>
  <c r="B102" i="111"/>
  <c r="D102" i="111"/>
  <c r="B103" i="111"/>
  <c r="D103" i="111"/>
  <c r="B104" i="111"/>
  <c r="D104" i="111"/>
  <c r="B105" i="111"/>
  <c r="D105" i="111"/>
  <c r="B106" i="111"/>
  <c r="D106" i="111"/>
  <c r="B107" i="111"/>
  <c r="D107" i="111"/>
  <c r="B108" i="111"/>
  <c r="D108" i="111"/>
  <c r="B109" i="111"/>
  <c r="D109" i="111"/>
  <c r="B110" i="111"/>
  <c r="D110" i="111"/>
  <c r="B111" i="111"/>
  <c r="D111" i="111"/>
  <c r="B112" i="111"/>
  <c r="D112" i="111"/>
  <c r="B113" i="111"/>
  <c r="D113" i="111"/>
  <c r="B114" i="111"/>
  <c r="D114" i="111"/>
  <c r="B115" i="111"/>
  <c r="D115" i="111"/>
  <c r="B116" i="111"/>
  <c r="D116" i="111"/>
  <c r="B117" i="111"/>
  <c r="D117" i="111"/>
  <c r="B118" i="111"/>
  <c r="D118" i="111"/>
  <c r="B119" i="111"/>
  <c r="D119" i="111"/>
  <c r="B120" i="111"/>
  <c r="D120" i="111"/>
  <c r="B121" i="111"/>
  <c r="D121" i="111"/>
  <c r="B127" i="111"/>
  <c r="D127" i="111"/>
  <c r="B128" i="111"/>
  <c r="D128" i="111"/>
  <c r="B129" i="111"/>
  <c r="D129" i="111"/>
  <c r="B130" i="111"/>
  <c r="D130" i="111"/>
  <c r="B131" i="111"/>
  <c r="D131" i="111"/>
  <c r="B132" i="111"/>
  <c r="D132" i="111"/>
  <c r="B133" i="111"/>
  <c r="D133" i="111"/>
  <c r="B134" i="111"/>
  <c r="D134" i="111"/>
  <c r="B135" i="111"/>
  <c r="D135" i="111"/>
  <c r="B136" i="111"/>
  <c r="D136" i="111"/>
  <c r="B137" i="111"/>
  <c r="D137" i="111"/>
  <c r="B138" i="111"/>
  <c r="D138" i="111"/>
  <c r="B139" i="111"/>
  <c r="D139" i="111"/>
  <c r="B140" i="111"/>
  <c r="D140" i="111"/>
  <c r="B141" i="111"/>
  <c r="D141" i="111"/>
  <c r="B142" i="111"/>
  <c r="D142" i="111"/>
  <c r="B143" i="111"/>
  <c r="D143" i="111"/>
  <c r="B144" i="111"/>
  <c r="D144" i="111"/>
  <c r="B145" i="111"/>
  <c r="D145" i="111"/>
  <c r="B146" i="111"/>
  <c r="D146" i="111"/>
  <c r="B147" i="111"/>
  <c r="D147" i="111"/>
  <c r="B148" i="111"/>
  <c r="D148" i="111"/>
  <c r="B149" i="111"/>
  <c r="D149" i="111"/>
  <c r="B150" i="111"/>
  <c r="D150" i="111"/>
  <c r="B151" i="111"/>
  <c r="D151" i="111"/>
  <c r="B156" i="111"/>
  <c r="D156" i="111"/>
  <c r="B157" i="111"/>
  <c r="D157" i="111"/>
  <c r="B158" i="111"/>
  <c r="D158" i="111"/>
  <c r="B159" i="111"/>
  <c r="D159" i="111"/>
  <c r="B160" i="111"/>
  <c r="D160" i="111"/>
  <c r="B161" i="111"/>
  <c r="D161" i="111"/>
  <c r="B162" i="111"/>
  <c r="D162" i="111"/>
  <c r="B163" i="111"/>
  <c r="D163" i="111"/>
  <c r="B164" i="111"/>
  <c r="D164" i="111"/>
  <c r="B165" i="111"/>
  <c r="D165" i="111"/>
  <c r="B166" i="111"/>
  <c r="D166" i="111"/>
  <c r="B167" i="111"/>
  <c r="D167" i="111"/>
  <c r="B168" i="111"/>
  <c r="D168" i="111"/>
  <c r="B169" i="111"/>
  <c r="D169" i="111"/>
  <c r="B170" i="111"/>
  <c r="D170" i="111"/>
  <c r="B171" i="111"/>
  <c r="D171" i="111"/>
  <c r="B172" i="111"/>
  <c r="D172" i="111"/>
  <c r="B173" i="111"/>
  <c r="D173" i="111"/>
  <c r="B174" i="111"/>
  <c r="D174" i="111"/>
  <c r="B175" i="111"/>
  <c r="D175" i="111"/>
  <c r="B176" i="111"/>
  <c r="D176" i="111"/>
  <c r="B177" i="111"/>
  <c r="D177" i="111"/>
  <c r="B178" i="111"/>
  <c r="D178" i="111"/>
  <c r="B179" i="111"/>
  <c r="D179" i="111"/>
  <c r="B180" i="111"/>
  <c r="D180" i="111"/>
  <c r="B7" i="110"/>
  <c r="D7" i="110"/>
  <c r="B8" i="110"/>
  <c r="D8" i="110"/>
  <c r="B9" i="110"/>
  <c r="D9" i="110"/>
  <c r="B10" i="110"/>
  <c r="D10" i="110"/>
  <c r="B11" i="110"/>
  <c r="D11" i="110"/>
  <c r="B12" i="110"/>
  <c r="D12" i="110"/>
  <c r="B13" i="110"/>
  <c r="D13" i="110"/>
  <c r="B14" i="110"/>
  <c r="D14" i="110"/>
  <c r="B15" i="110"/>
  <c r="D15" i="110"/>
  <c r="B16" i="110"/>
  <c r="D16" i="110"/>
  <c r="B17" i="110"/>
  <c r="D17" i="110"/>
  <c r="B18" i="110"/>
  <c r="D18" i="110"/>
  <c r="B19" i="110"/>
  <c r="D19" i="110"/>
  <c r="B20" i="110"/>
  <c r="D20" i="110"/>
  <c r="B21" i="110"/>
  <c r="D21" i="110"/>
  <c r="B22" i="110"/>
  <c r="D22" i="110"/>
  <c r="B23" i="110"/>
  <c r="D23" i="110"/>
  <c r="B24" i="110"/>
  <c r="D24" i="110"/>
  <c r="B25" i="110"/>
  <c r="D25" i="110"/>
  <c r="B26" i="110"/>
  <c r="D26" i="110"/>
  <c r="B27" i="110"/>
  <c r="D27" i="110"/>
  <c r="B28" i="110"/>
  <c r="D28" i="110"/>
  <c r="B29" i="110"/>
  <c r="D29" i="110"/>
  <c r="B30" i="110"/>
  <c r="D30" i="110"/>
  <c r="B31" i="110"/>
  <c r="D31" i="110"/>
  <c r="B36" i="110"/>
  <c r="D36" i="110"/>
  <c r="B37" i="110"/>
  <c r="D37" i="110"/>
  <c r="B38" i="110"/>
  <c r="D38" i="110"/>
  <c r="B39" i="110"/>
  <c r="D39" i="110"/>
  <c r="B40" i="110"/>
  <c r="D40" i="110"/>
  <c r="B41" i="110"/>
  <c r="D41" i="110"/>
  <c r="B42" i="110"/>
  <c r="D42" i="110"/>
  <c r="B43" i="110"/>
  <c r="D43" i="110"/>
  <c r="B44" i="110"/>
  <c r="D44" i="110"/>
  <c r="B45" i="110"/>
  <c r="D45" i="110"/>
  <c r="B46" i="110"/>
  <c r="D46" i="110"/>
  <c r="B47" i="110"/>
  <c r="D47" i="110"/>
  <c r="B48" i="110"/>
  <c r="D48" i="110"/>
  <c r="B49" i="110"/>
  <c r="D49" i="110"/>
  <c r="B50" i="110"/>
  <c r="D50" i="110"/>
  <c r="B51" i="110"/>
  <c r="D51" i="110"/>
  <c r="B52" i="110"/>
  <c r="D52" i="110"/>
  <c r="B53" i="110"/>
  <c r="D53" i="110"/>
  <c r="B54" i="110"/>
  <c r="D54" i="110"/>
  <c r="B55" i="110"/>
  <c r="D55" i="110"/>
  <c r="B56" i="110"/>
  <c r="D56" i="110"/>
  <c r="B57" i="110"/>
  <c r="D57" i="110"/>
  <c r="B58" i="110"/>
  <c r="D58" i="110"/>
  <c r="B59" i="110"/>
  <c r="D59" i="110"/>
  <c r="B60" i="110"/>
  <c r="D60" i="110"/>
  <c r="B66" i="110"/>
  <c r="D66" i="110"/>
  <c r="B67" i="110"/>
  <c r="D67" i="110"/>
  <c r="B68" i="110"/>
  <c r="D68" i="110"/>
  <c r="B69" i="110"/>
  <c r="D69" i="110"/>
  <c r="B70" i="110"/>
  <c r="D70" i="110"/>
  <c r="B71" i="110"/>
  <c r="D71" i="110"/>
  <c r="B72" i="110"/>
  <c r="D72" i="110"/>
  <c r="B73" i="110"/>
  <c r="D73" i="110"/>
  <c r="B74" i="110"/>
  <c r="D74" i="110"/>
  <c r="B75" i="110"/>
  <c r="D75" i="110"/>
  <c r="B76" i="110"/>
  <c r="D76" i="110"/>
  <c r="B77" i="110"/>
  <c r="D77" i="110"/>
  <c r="B78" i="110"/>
  <c r="D78" i="110"/>
  <c r="B79" i="110"/>
  <c r="D79" i="110"/>
  <c r="B80" i="110"/>
  <c r="D80" i="110"/>
  <c r="B81" i="110"/>
  <c r="D81" i="110"/>
  <c r="B82" i="110"/>
  <c r="D82" i="110"/>
  <c r="B83" i="110"/>
  <c r="D83" i="110"/>
  <c r="B84" i="110"/>
  <c r="D84" i="110"/>
  <c r="B85" i="110"/>
  <c r="D85" i="110"/>
  <c r="B86" i="110"/>
  <c r="D86" i="110"/>
  <c r="B87" i="110"/>
  <c r="D87" i="110"/>
  <c r="B88" i="110"/>
  <c r="D88" i="110"/>
  <c r="B89" i="110"/>
  <c r="D89" i="110"/>
  <c r="B90" i="110"/>
  <c r="D90" i="110"/>
  <c r="B96" i="110"/>
  <c r="D96" i="110"/>
  <c r="B97" i="110"/>
  <c r="D97" i="110"/>
  <c r="B98" i="110"/>
  <c r="D98" i="110"/>
  <c r="B99" i="110"/>
  <c r="D99" i="110"/>
  <c r="B100" i="110"/>
  <c r="D100" i="110"/>
  <c r="B101" i="110"/>
  <c r="D101" i="110"/>
  <c r="B102" i="110"/>
  <c r="D102" i="110"/>
  <c r="B103" i="110"/>
  <c r="D103" i="110"/>
  <c r="B104" i="110"/>
  <c r="D104" i="110"/>
  <c r="B105" i="110"/>
  <c r="D105" i="110"/>
  <c r="B106" i="110"/>
  <c r="D106" i="110"/>
  <c r="B107" i="110"/>
  <c r="D107" i="110"/>
  <c r="B108" i="110"/>
  <c r="D108" i="110"/>
  <c r="B109" i="110"/>
  <c r="D109" i="110"/>
  <c r="B110" i="110"/>
  <c r="D110" i="110"/>
  <c r="B111" i="110"/>
  <c r="D111" i="110"/>
  <c r="B112" i="110"/>
  <c r="D112" i="110"/>
  <c r="B113" i="110"/>
  <c r="D113" i="110"/>
  <c r="B114" i="110"/>
  <c r="D114" i="110"/>
  <c r="B115" i="110"/>
  <c r="D115" i="110"/>
  <c r="B116" i="110"/>
  <c r="D116" i="110"/>
  <c r="B117" i="110"/>
  <c r="D117" i="110"/>
  <c r="B118" i="110"/>
  <c r="D118" i="110"/>
  <c r="B119" i="110"/>
  <c r="D119" i="110"/>
  <c r="B120" i="110"/>
  <c r="D120" i="110"/>
  <c r="B125" i="110"/>
  <c r="D125" i="110"/>
  <c r="B126" i="110"/>
  <c r="D126" i="110"/>
  <c r="B127" i="110"/>
  <c r="D127" i="110"/>
  <c r="B128" i="110"/>
  <c r="D128" i="110"/>
  <c r="B129" i="110"/>
  <c r="D129" i="110"/>
  <c r="B130" i="110"/>
  <c r="D130" i="110"/>
  <c r="B131" i="110"/>
  <c r="D131" i="110"/>
  <c r="B132" i="110"/>
  <c r="D132" i="110"/>
  <c r="B133" i="110"/>
  <c r="D133" i="110"/>
  <c r="B134" i="110"/>
  <c r="D134" i="110"/>
  <c r="B135" i="110"/>
  <c r="D135" i="110"/>
  <c r="B136" i="110"/>
  <c r="D136" i="110"/>
  <c r="B137" i="110"/>
  <c r="D137" i="110"/>
  <c r="B138" i="110"/>
  <c r="D138" i="110"/>
  <c r="B139" i="110"/>
  <c r="D139" i="110"/>
  <c r="B140" i="110"/>
  <c r="D140" i="110"/>
  <c r="B141" i="110"/>
  <c r="D141" i="110"/>
  <c r="B142" i="110"/>
  <c r="D142" i="110"/>
  <c r="B143" i="110"/>
  <c r="D143" i="110"/>
  <c r="B144" i="110"/>
  <c r="D144" i="110"/>
  <c r="B145" i="110"/>
  <c r="D145" i="110"/>
  <c r="B146" i="110"/>
  <c r="D146" i="110"/>
  <c r="B147" i="110"/>
  <c r="D147" i="110"/>
  <c r="B148" i="110"/>
  <c r="D148" i="110"/>
  <c r="B149" i="110"/>
  <c r="D149" i="110"/>
  <c r="B154" i="110"/>
  <c r="D154" i="110"/>
  <c r="B155" i="110"/>
  <c r="D155" i="110"/>
  <c r="B156" i="110"/>
  <c r="D156" i="110"/>
  <c r="B157" i="110"/>
  <c r="D157" i="110"/>
  <c r="B158" i="110"/>
  <c r="D158" i="110"/>
  <c r="B159" i="110"/>
  <c r="D159" i="110"/>
  <c r="B160" i="110"/>
  <c r="D160" i="110"/>
  <c r="B161" i="110"/>
  <c r="D161" i="110"/>
  <c r="B162" i="110"/>
  <c r="D162" i="110"/>
  <c r="B163" i="110"/>
  <c r="D163" i="110"/>
  <c r="B164" i="110"/>
  <c r="D164" i="110"/>
  <c r="B165" i="110"/>
  <c r="D165" i="110"/>
  <c r="B166" i="110"/>
  <c r="D166" i="110"/>
  <c r="B167" i="110"/>
  <c r="D167" i="110"/>
  <c r="B168" i="110"/>
  <c r="D168" i="110"/>
  <c r="B169" i="110"/>
  <c r="D169" i="110"/>
  <c r="B170" i="110"/>
  <c r="D170" i="110"/>
  <c r="B171" i="110"/>
  <c r="D171" i="110"/>
  <c r="B172" i="110"/>
  <c r="D172" i="110"/>
  <c r="B173" i="110"/>
  <c r="D173" i="110"/>
  <c r="B174" i="110"/>
  <c r="D174" i="110"/>
  <c r="B175" i="110"/>
  <c r="D175" i="110"/>
  <c r="B176" i="110"/>
  <c r="D176" i="110"/>
  <c r="B177" i="110"/>
  <c r="D177" i="110"/>
  <c r="B178" i="110"/>
  <c r="D178" i="110"/>
  <c r="B184" i="110"/>
  <c r="C184" i="110"/>
  <c r="E184" i="110"/>
  <c r="B185" i="110"/>
  <c r="C185" i="110"/>
  <c r="E185" i="110"/>
  <c r="B186" i="110"/>
  <c r="C186" i="110"/>
  <c r="E186" i="110"/>
  <c r="B187" i="110"/>
  <c r="C187" i="110"/>
  <c r="E187" i="110"/>
  <c r="B188" i="110"/>
  <c r="C188" i="110"/>
  <c r="E188" i="110"/>
  <c r="B189" i="110"/>
  <c r="C189" i="110"/>
  <c r="E189" i="110"/>
  <c r="B190" i="110"/>
  <c r="C190" i="110"/>
  <c r="E190" i="110"/>
  <c r="B191" i="110"/>
  <c r="C191" i="110"/>
  <c r="E191" i="110"/>
  <c r="B192" i="110"/>
  <c r="C192" i="110"/>
  <c r="E192" i="110"/>
  <c r="B193" i="110"/>
  <c r="C193" i="110"/>
  <c r="E193" i="110"/>
  <c r="B194" i="110"/>
  <c r="C194" i="110"/>
  <c r="E194" i="110"/>
  <c r="B195" i="110"/>
  <c r="C195" i="110"/>
  <c r="E195" i="110"/>
  <c r="B196" i="110"/>
  <c r="C196" i="110"/>
  <c r="E196" i="110"/>
  <c r="B197" i="110"/>
  <c r="C197" i="110"/>
  <c r="E197" i="110"/>
  <c r="B198" i="110"/>
  <c r="C198" i="110"/>
  <c r="E198" i="110"/>
  <c r="B199" i="110"/>
  <c r="C199" i="110"/>
  <c r="E199" i="110"/>
  <c r="B200" i="110"/>
  <c r="C200" i="110"/>
  <c r="E200" i="110"/>
  <c r="B201" i="110"/>
  <c r="C201" i="110"/>
  <c r="E201" i="110"/>
  <c r="B202" i="110"/>
  <c r="C202" i="110"/>
  <c r="E202" i="110"/>
  <c r="B203" i="110"/>
  <c r="C203" i="110"/>
  <c r="E203" i="110"/>
  <c r="B204" i="110"/>
  <c r="C204" i="110"/>
  <c r="E204" i="110"/>
  <c r="B205" i="110"/>
  <c r="C205" i="110"/>
  <c r="E205" i="110"/>
  <c r="B206" i="110"/>
  <c r="C206" i="110"/>
  <c r="E206" i="110"/>
  <c r="B207" i="110"/>
  <c r="C207" i="110"/>
  <c r="E207" i="110"/>
  <c r="B208" i="110"/>
  <c r="C208" i="110"/>
  <c r="E208" i="110"/>
  <c r="B213" i="110"/>
  <c r="C213" i="110"/>
  <c r="E213" i="110"/>
  <c r="B214" i="110"/>
  <c r="C214" i="110"/>
  <c r="E214" i="110"/>
  <c r="B215" i="110"/>
  <c r="C215" i="110"/>
  <c r="E215" i="110"/>
  <c r="B216" i="110"/>
  <c r="C216" i="110"/>
  <c r="E216" i="110"/>
  <c r="B217" i="110"/>
  <c r="C217" i="110"/>
  <c r="E217" i="110"/>
  <c r="B218" i="110"/>
  <c r="C218" i="110"/>
  <c r="E218" i="110"/>
  <c r="B219" i="110"/>
  <c r="C219" i="110"/>
  <c r="E219" i="110"/>
  <c r="B220" i="110"/>
  <c r="C220" i="110"/>
  <c r="E220" i="110"/>
  <c r="B221" i="110"/>
  <c r="C221" i="110"/>
  <c r="E221" i="110"/>
  <c r="B222" i="110"/>
  <c r="C222" i="110"/>
  <c r="E222" i="110"/>
  <c r="B223" i="110"/>
  <c r="C223" i="110"/>
  <c r="E223" i="110"/>
  <c r="B224" i="110"/>
  <c r="C224" i="110"/>
  <c r="E224" i="110"/>
  <c r="B225" i="110"/>
  <c r="C225" i="110"/>
  <c r="E225" i="110"/>
  <c r="B226" i="110"/>
  <c r="C226" i="110"/>
  <c r="E226" i="110"/>
  <c r="B227" i="110"/>
  <c r="C227" i="110"/>
  <c r="E227" i="110"/>
  <c r="B228" i="110"/>
  <c r="C228" i="110"/>
  <c r="E228" i="110"/>
  <c r="B229" i="110"/>
  <c r="C229" i="110"/>
  <c r="E229" i="110"/>
  <c r="B230" i="110"/>
  <c r="C230" i="110"/>
  <c r="E230" i="110"/>
  <c r="B231" i="110"/>
  <c r="C231" i="110"/>
  <c r="E231" i="110"/>
  <c r="B232" i="110"/>
  <c r="C232" i="110"/>
  <c r="E232" i="110"/>
  <c r="B233" i="110"/>
  <c r="C233" i="110"/>
  <c r="E233" i="110"/>
  <c r="B234" i="110"/>
  <c r="C234" i="110"/>
  <c r="E234" i="110"/>
  <c r="B235" i="110"/>
  <c r="C235" i="110"/>
  <c r="E235" i="110"/>
  <c r="B236" i="110"/>
  <c r="C236" i="110"/>
  <c r="E236" i="110"/>
  <c r="B237" i="110"/>
  <c r="C237" i="110"/>
  <c r="E237" i="110"/>
  <c r="B2" i="109"/>
  <c r="B3" i="109"/>
  <c r="B4" i="109"/>
  <c r="B5" i="109"/>
  <c r="B6" i="109"/>
  <c r="B7" i="109"/>
  <c r="B8" i="109"/>
  <c r="B9" i="109"/>
  <c r="B10" i="109"/>
  <c r="B11" i="109"/>
  <c r="B12" i="109"/>
  <c r="B13" i="109"/>
  <c r="B14" i="109"/>
  <c r="B15" i="109"/>
  <c r="B16" i="109"/>
  <c r="B17" i="109"/>
  <c r="B18" i="109"/>
  <c r="B19" i="109"/>
  <c r="B20" i="109"/>
  <c r="B21" i="109"/>
  <c r="B22" i="109"/>
  <c r="B23" i="109"/>
  <c r="B24" i="109"/>
  <c r="B25" i="109"/>
  <c r="B26" i="109"/>
  <c r="B5" i="101"/>
  <c r="B6" i="101"/>
  <c r="B7" i="101"/>
  <c r="B8" i="101"/>
  <c r="B9" i="101"/>
  <c r="B10" i="101"/>
  <c r="B11" i="101"/>
  <c r="B12" i="101"/>
  <c r="B13" i="101"/>
  <c r="B14" i="101"/>
  <c r="B15" i="101"/>
  <c r="B16" i="101"/>
  <c r="B17" i="101"/>
  <c r="B18" i="101"/>
  <c r="B19" i="101"/>
  <c r="B20" i="101"/>
  <c r="B21" i="101"/>
  <c r="B22" i="101"/>
  <c r="B23" i="101"/>
  <c r="B24" i="101"/>
  <c r="B25" i="101"/>
  <c r="B26" i="101"/>
  <c r="B27" i="101"/>
  <c r="B28" i="101"/>
  <c r="B29" i="101"/>
  <c r="C68" i="102"/>
  <c r="C69" i="102"/>
  <c r="C70" i="102"/>
  <c r="C71" i="102"/>
  <c r="C72" i="102"/>
  <c r="C73" i="102"/>
  <c r="C74" i="102"/>
  <c r="C75" i="102"/>
  <c r="C76" i="102"/>
  <c r="C77" i="102"/>
  <c r="C78" i="102"/>
  <c r="C79" i="102"/>
  <c r="C80" i="102"/>
  <c r="C81" i="102"/>
  <c r="C82" i="102"/>
  <c r="C83" i="102"/>
  <c r="C84" i="102"/>
  <c r="C85" i="102"/>
  <c r="C86" i="102"/>
  <c r="C87" i="102"/>
  <c r="C88" i="102"/>
  <c r="C89" i="102"/>
  <c r="C90" i="102"/>
  <c r="C91" i="102"/>
  <c r="C92" i="102"/>
  <c r="C37" i="102"/>
  <c r="C38" i="102"/>
  <c r="C39" i="102"/>
  <c r="C40" i="102"/>
  <c r="C41" i="102"/>
  <c r="C42" i="102"/>
  <c r="C43" i="102"/>
  <c r="C44" i="102"/>
  <c r="C45" i="102"/>
  <c r="C46" i="102"/>
  <c r="C47" i="102"/>
  <c r="C48" i="102"/>
  <c r="C49" i="102"/>
  <c r="C50" i="102"/>
  <c r="C51" i="102"/>
  <c r="C52" i="102"/>
  <c r="C53" i="102"/>
  <c r="C54" i="102"/>
  <c r="C55" i="102"/>
  <c r="C56" i="102"/>
  <c r="C57" i="102"/>
  <c r="C58" i="102"/>
  <c r="C59" i="102"/>
  <c r="C60" i="102"/>
  <c r="C61" i="102"/>
  <c r="C6" i="102"/>
  <c r="C7" i="102"/>
  <c r="C8" i="102"/>
  <c r="C9" i="102"/>
  <c r="C10" i="102"/>
  <c r="C11" i="102"/>
  <c r="C12" i="102"/>
  <c r="C13" i="102"/>
  <c r="C14" i="102"/>
  <c r="C15" i="102"/>
  <c r="C16" i="102"/>
  <c r="C17" i="102"/>
  <c r="C18" i="102"/>
  <c r="C19" i="102"/>
  <c r="C20" i="102"/>
  <c r="C21" i="102"/>
  <c r="C22" i="102"/>
  <c r="C23" i="102"/>
  <c r="C24" i="102"/>
  <c r="C25" i="102"/>
  <c r="C26" i="102"/>
  <c r="C27" i="102"/>
  <c r="C28" i="102"/>
  <c r="C29" i="102"/>
  <c r="C30" i="102"/>
  <c r="B66" i="106"/>
  <c r="B67" i="106"/>
  <c r="B68" i="106"/>
  <c r="B69" i="106"/>
  <c r="B70" i="106"/>
  <c r="B71" i="106"/>
  <c r="B72" i="106"/>
  <c r="B73" i="106"/>
  <c r="B74" i="106"/>
  <c r="B75" i="106"/>
  <c r="B76" i="106"/>
  <c r="B77" i="106"/>
  <c r="B78" i="106"/>
  <c r="B79" i="106"/>
  <c r="B80" i="106"/>
  <c r="B81" i="106"/>
  <c r="B82" i="106"/>
  <c r="B83" i="106"/>
  <c r="B84" i="106"/>
  <c r="B85" i="106"/>
  <c r="B86" i="106"/>
  <c r="B87" i="106"/>
  <c r="B88" i="106"/>
  <c r="B89" i="106"/>
  <c r="B65" i="106"/>
  <c r="B37" i="106"/>
  <c r="B38" i="106"/>
  <c r="B39" i="106"/>
  <c r="B40" i="106"/>
  <c r="B41" i="106"/>
  <c r="B42" i="106"/>
  <c r="B43" i="106"/>
  <c r="B44" i="106"/>
  <c r="B45" i="106"/>
  <c r="B46" i="106"/>
  <c r="B47" i="106"/>
  <c r="B48" i="106"/>
  <c r="B49" i="106"/>
  <c r="B50" i="106"/>
  <c r="B51" i="106"/>
  <c r="B52" i="106"/>
  <c r="B53" i="106"/>
  <c r="B54" i="106"/>
  <c r="B55" i="106"/>
  <c r="B56" i="106"/>
  <c r="B57" i="106"/>
  <c r="B58" i="106"/>
  <c r="B59" i="106"/>
  <c r="B60" i="106"/>
  <c r="B36" i="106"/>
  <c r="B7" i="106"/>
  <c r="B8" i="106"/>
  <c r="B9" i="106"/>
  <c r="B10" i="106"/>
  <c r="B11" i="106"/>
  <c r="B12" i="106"/>
  <c r="B13" i="106"/>
  <c r="B14" i="106"/>
  <c r="B15" i="106"/>
  <c r="B16" i="106"/>
  <c r="B17" i="106"/>
  <c r="B18" i="106"/>
  <c r="B19" i="106"/>
  <c r="B20" i="106"/>
  <c r="B21" i="106"/>
  <c r="B22" i="106"/>
  <c r="B23" i="106"/>
  <c r="B24" i="106"/>
  <c r="B25" i="106"/>
  <c r="B26" i="106"/>
  <c r="B27" i="106"/>
  <c r="B28" i="106"/>
  <c r="B29" i="106"/>
  <c r="B30" i="106"/>
  <c r="B6" i="106"/>
  <c r="B66" i="105"/>
  <c r="B67" i="105"/>
  <c r="B68" i="105"/>
  <c r="B69" i="105"/>
  <c r="B70" i="105"/>
  <c r="B71" i="105"/>
  <c r="B72" i="105"/>
  <c r="B73" i="105"/>
  <c r="B74" i="105"/>
  <c r="B75" i="105"/>
  <c r="B76" i="105"/>
  <c r="B77" i="105"/>
  <c r="B78" i="105"/>
  <c r="B79" i="105"/>
  <c r="B80" i="105"/>
  <c r="B81" i="105"/>
  <c r="B82" i="105"/>
  <c r="B83" i="105"/>
  <c r="B84" i="105"/>
  <c r="B85" i="105"/>
  <c r="B86" i="105"/>
  <c r="B87" i="105"/>
  <c r="B88" i="105"/>
  <c r="B89" i="105"/>
  <c r="B90" i="105"/>
  <c r="B36" i="105"/>
  <c r="B37" i="105"/>
  <c r="B38" i="105"/>
  <c r="B39" i="105"/>
  <c r="B40" i="105"/>
  <c r="B41" i="105"/>
  <c r="B42" i="105"/>
  <c r="B43" i="105"/>
  <c r="B44" i="105"/>
  <c r="B45" i="105"/>
  <c r="B46" i="105"/>
  <c r="B47" i="105"/>
  <c r="B48" i="105"/>
  <c r="B49" i="105"/>
  <c r="B50" i="105"/>
  <c r="B51" i="105"/>
  <c r="B52" i="105"/>
  <c r="B53" i="105"/>
  <c r="B54" i="105"/>
  <c r="B55" i="105"/>
  <c r="B56" i="105"/>
  <c r="B57" i="105"/>
  <c r="B58" i="105"/>
  <c r="B59" i="105"/>
  <c r="B60" i="105"/>
  <c r="B8" i="105"/>
  <c r="B9" i="105"/>
  <c r="B10" i="105"/>
  <c r="B11" i="105"/>
  <c r="B12" i="105"/>
  <c r="B13" i="105"/>
  <c r="B14" i="105"/>
  <c r="B15" i="105"/>
  <c r="B16" i="105"/>
  <c r="B17" i="105"/>
  <c r="B18" i="105"/>
  <c r="B19" i="105"/>
  <c r="B20" i="105"/>
  <c r="B21" i="105"/>
  <c r="B22" i="105"/>
  <c r="B23" i="105"/>
  <c r="B24" i="105"/>
  <c r="B25" i="105"/>
  <c r="B26" i="105"/>
  <c r="B27" i="105"/>
  <c r="B28" i="105"/>
  <c r="B29" i="105"/>
  <c r="B30" i="105"/>
  <c r="B31" i="105"/>
  <c r="B7" i="105"/>
  <c r="B3" i="104"/>
  <c r="B4" i="104"/>
  <c r="B5" i="104"/>
  <c r="B6" i="104"/>
  <c r="B7" i="104"/>
  <c r="B8" i="104"/>
  <c r="B9" i="104"/>
  <c r="B10" i="104"/>
  <c r="B11" i="104"/>
  <c r="B12" i="104"/>
  <c r="B13" i="104"/>
  <c r="B14" i="104"/>
  <c r="B15" i="104"/>
  <c r="B16" i="104"/>
  <c r="B17" i="104"/>
  <c r="B18" i="104"/>
  <c r="B19" i="104"/>
  <c r="B20" i="104"/>
  <c r="B21" i="104"/>
  <c r="B22" i="104"/>
  <c r="B23" i="104"/>
  <c r="B24" i="104"/>
  <c r="B25" i="104"/>
  <c r="B26" i="104"/>
  <c r="B2" i="104"/>
  <c r="F5" i="101"/>
  <c r="B179" i="106"/>
  <c r="D179" i="106"/>
  <c r="B177" i="106"/>
  <c r="D177" i="106"/>
  <c r="B175" i="106"/>
  <c r="D175" i="106"/>
  <c r="B173" i="106"/>
  <c r="D173" i="106"/>
  <c r="B171" i="106"/>
  <c r="D171" i="106"/>
  <c r="B169" i="106"/>
  <c r="D169" i="106"/>
  <c r="B167" i="106"/>
  <c r="D167" i="106"/>
  <c r="B165" i="106"/>
  <c r="D165" i="106"/>
  <c r="B163" i="106"/>
  <c r="D163" i="106"/>
  <c r="B161" i="106"/>
  <c r="D161" i="106"/>
  <c r="B160" i="106"/>
  <c r="D160" i="106"/>
  <c r="B159" i="106"/>
  <c r="D159" i="106"/>
  <c r="B158" i="106"/>
  <c r="D158" i="106"/>
  <c r="B157" i="106"/>
  <c r="D157" i="106"/>
  <c r="B156" i="106"/>
  <c r="D156" i="106"/>
  <c r="B151" i="106"/>
  <c r="D151" i="106"/>
  <c r="B150" i="106"/>
  <c r="D150" i="106"/>
  <c r="B149" i="106"/>
  <c r="D149" i="106"/>
  <c r="B148" i="106"/>
  <c r="D148" i="106"/>
  <c r="B147" i="106"/>
  <c r="D147" i="106"/>
  <c r="B146" i="106"/>
  <c r="D146" i="106"/>
  <c r="B145" i="106"/>
  <c r="D145" i="106"/>
  <c r="B144" i="106"/>
  <c r="D144" i="106"/>
  <c r="B143" i="106"/>
  <c r="D143" i="106"/>
  <c r="B142" i="106"/>
  <c r="D142" i="106"/>
  <c r="B141" i="106"/>
  <c r="D141" i="106"/>
  <c r="B140" i="106"/>
  <c r="D140" i="106"/>
  <c r="B139" i="106"/>
  <c r="D139" i="106"/>
  <c r="B138" i="106"/>
  <c r="D138" i="106"/>
  <c r="B137" i="106"/>
  <c r="D137" i="106"/>
  <c r="B136" i="106"/>
  <c r="D136" i="106"/>
  <c r="B135" i="106"/>
  <c r="D135" i="106"/>
  <c r="B134" i="106"/>
  <c r="D134" i="106"/>
  <c r="B133" i="106"/>
  <c r="D133" i="106"/>
  <c r="B132" i="106"/>
  <c r="D132" i="106"/>
  <c r="B131" i="106"/>
  <c r="D131" i="106"/>
  <c r="B130" i="106"/>
  <c r="D130" i="106"/>
  <c r="B129" i="106"/>
  <c r="D129" i="106"/>
  <c r="B128" i="106"/>
  <c r="D128" i="106"/>
  <c r="B127" i="106"/>
  <c r="D127" i="106"/>
  <c r="B121" i="106"/>
  <c r="D121" i="106"/>
  <c r="B120" i="106"/>
  <c r="D120" i="106"/>
  <c r="B119" i="106"/>
  <c r="D119" i="106"/>
  <c r="B118" i="106"/>
  <c r="D118" i="106"/>
  <c r="B117" i="106"/>
  <c r="D117" i="106"/>
  <c r="B116" i="106"/>
  <c r="D116" i="106"/>
  <c r="B115" i="106"/>
  <c r="D115" i="106"/>
  <c r="B114" i="106"/>
  <c r="D114" i="106"/>
  <c r="B113" i="106"/>
  <c r="D113" i="106"/>
  <c r="B112" i="106"/>
  <c r="D112" i="106"/>
  <c r="B111" i="106"/>
  <c r="D111" i="106"/>
  <c r="B110" i="106"/>
  <c r="D110" i="106"/>
  <c r="B109" i="106"/>
  <c r="D109" i="106"/>
  <c r="B108" i="106"/>
  <c r="D108" i="106"/>
  <c r="B107" i="106"/>
  <c r="D107" i="106"/>
  <c r="B106" i="106"/>
  <c r="D106" i="106"/>
  <c r="B105" i="106"/>
  <c r="D105" i="106"/>
  <c r="B104" i="106"/>
  <c r="D104" i="106"/>
  <c r="B103" i="106"/>
  <c r="D103" i="106"/>
  <c r="B102" i="106"/>
  <c r="D102" i="106"/>
  <c r="B101" i="106"/>
  <c r="D101" i="106"/>
  <c r="B100" i="106"/>
  <c r="D100" i="106"/>
  <c r="B99" i="106"/>
  <c r="D99" i="106"/>
  <c r="B98" i="106"/>
  <c r="D98" i="106"/>
  <c r="B97" i="106"/>
  <c r="D97" i="106"/>
  <c r="D88" i="106"/>
  <c r="D86" i="106"/>
  <c r="D84" i="106"/>
  <c r="D82" i="106"/>
  <c r="D80" i="106"/>
  <c r="D78" i="106"/>
  <c r="D76" i="106"/>
  <c r="D74" i="106"/>
  <c r="D72" i="106"/>
  <c r="D70" i="106"/>
  <c r="D69" i="106"/>
  <c r="D68" i="106"/>
  <c r="D67" i="106"/>
  <c r="D66" i="106"/>
  <c r="D65" i="106"/>
  <c r="D60" i="106"/>
  <c r="D59" i="106"/>
  <c r="D58" i="106"/>
  <c r="D57" i="106"/>
  <c r="D56" i="106"/>
  <c r="D55" i="106"/>
  <c r="D54" i="106"/>
  <c r="D53" i="106"/>
  <c r="D52" i="106"/>
  <c r="D51" i="106"/>
  <c r="D50" i="106"/>
  <c r="D49" i="106"/>
  <c r="D48" i="106"/>
  <c r="D47" i="106"/>
  <c r="D46" i="106"/>
  <c r="D45" i="106"/>
  <c r="D44" i="106"/>
  <c r="D43" i="106"/>
  <c r="D42" i="106"/>
  <c r="D41" i="106"/>
  <c r="D40" i="106"/>
  <c r="D39" i="106"/>
  <c r="D38" i="106"/>
  <c r="D37" i="106"/>
  <c r="D36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D6" i="106"/>
  <c r="B149" i="105"/>
  <c r="B237" i="105"/>
  <c r="C237" i="105"/>
  <c r="E237" i="105"/>
  <c r="B148" i="105"/>
  <c r="B236" i="105"/>
  <c r="C236" i="105"/>
  <c r="E236" i="105"/>
  <c r="B147" i="105"/>
  <c r="B235" i="105"/>
  <c r="C235" i="105"/>
  <c r="E235" i="105"/>
  <c r="B146" i="105"/>
  <c r="B234" i="105"/>
  <c r="C234" i="105"/>
  <c r="E234" i="105"/>
  <c r="B145" i="105"/>
  <c r="B233" i="105"/>
  <c r="C233" i="105"/>
  <c r="E233" i="105"/>
  <c r="B144" i="105"/>
  <c r="B232" i="105"/>
  <c r="C232" i="105"/>
  <c r="E232" i="105"/>
  <c r="B143" i="105"/>
  <c r="B231" i="105"/>
  <c r="C231" i="105"/>
  <c r="E231" i="105"/>
  <c r="B142" i="105"/>
  <c r="B230" i="105"/>
  <c r="C230" i="105"/>
  <c r="E230" i="105"/>
  <c r="B141" i="105"/>
  <c r="B229" i="105"/>
  <c r="C229" i="105"/>
  <c r="E229" i="105"/>
  <c r="B140" i="105"/>
  <c r="B228" i="105"/>
  <c r="C228" i="105"/>
  <c r="E228" i="105"/>
  <c r="B139" i="105"/>
  <c r="B227" i="105"/>
  <c r="C227" i="105"/>
  <c r="E227" i="105"/>
  <c r="B138" i="105"/>
  <c r="B226" i="105"/>
  <c r="C226" i="105"/>
  <c r="E226" i="105"/>
  <c r="B137" i="105"/>
  <c r="B225" i="105"/>
  <c r="C225" i="105"/>
  <c r="E225" i="105"/>
  <c r="B136" i="105"/>
  <c r="B224" i="105"/>
  <c r="C224" i="105"/>
  <c r="E224" i="105"/>
  <c r="B135" i="105"/>
  <c r="B223" i="105"/>
  <c r="C223" i="105"/>
  <c r="E223" i="105"/>
  <c r="B134" i="105"/>
  <c r="B222" i="105"/>
  <c r="C222" i="105"/>
  <c r="E222" i="105"/>
  <c r="B133" i="105"/>
  <c r="B221" i="105"/>
  <c r="C221" i="105"/>
  <c r="E221" i="105"/>
  <c r="B132" i="105"/>
  <c r="B220" i="105"/>
  <c r="C220" i="105"/>
  <c r="E220" i="105"/>
  <c r="B131" i="105"/>
  <c r="B219" i="105"/>
  <c r="C219" i="105"/>
  <c r="E219" i="105"/>
  <c r="B130" i="105"/>
  <c r="B218" i="105"/>
  <c r="C218" i="105"/>
  <c r="E218" i="105"/>
  <c r="B129" i="105"/>
  <c r="B217" i="105"/>
  <c r="C217" i="105"/>
  <c r="E217" i="105"/>
  <c r="B128" i="105"/>
  <c r="B216" i="105"/>
  <c r="C216" i="105"/>
  <c r="E216" i="105"/>
  <c r="B127" i="105"/>
  <c r="B215" i="105"/>
  <c r="C215" i="105"/>
  <c r="E215" i="105"/>
  <c r="B126" i="105"/>
  <c r="B214" i="105"/>
  <c r="C214" i="105"/>
  <c r="E214" i="105"/>
  <c r="B125" i="105"/>
  <c r="B213" i="105"/>
  <c r="C213" i="105"/>
  <c r="E213" i="105"/>
  <c r="B178" i="105"/>
  <c r="B208" i="105"/>
  <c r="C208" i="105"/>
  <c r="E208" i="105"/>
  <c r="B174" i="105"/>
  <c r="B204" i="105"/>
  <c r="C204" i="105"/>
  <c r="E204" i="105"/>
  <c r="B170" i="105"/>
  <c r="B200" i="105"/>
  <c r="C200" i="105"/>
  <c r="E200" i="105"/>
  <c r="B166" i="105"/>
  <c r="B196" i="105"/>
  <c r="C196" i="105"/>
  <c r="E196" i="105"/>
  <c r="B162" i="105"/>
  <c r="B192" i="105"/>
  <c r="C192" i="105"/>
  <c r="E192" i="105"/>
  <c r="B159" i="105"/>
  <c r="B189" i="105"/>
  <c r="C189" i="105"/>
  <c r="E189" i="105"/>
  <c r="B158" i="105"/>
  <c r="B188" i="105"/>
  <c r="C188" i="105"/>
  <c r="E188" i="105"/>
  <c r="B155" i="105"/>
  <c r="B185" i="105"/>
  <c r="C185" i="105"/>
  <c r="E185" i="105"/>
  <c r="B154" i="105"/>
  <c r="B184" i="105"/>
  <c r="C184" i="105"/>
  <c r="E184" i="105"/>
  <c r="D178" i="105"/>
  <c r="D170" i="105"/>
  <c r="D162" i="105"/>
  <c r="D158" i="105"/>
  <c r="D155" i="105"/>
  <c r="D154" i="105"/>
  <c r="D145" i="105"/>
  <c r="D137" i="105"/>
  <c r="D129" i="105"/>
  <c r="B120" i="105"/>
  <c r="D120" i="105"/>
  <c r="B119" i="105"/>
  <c r="D119" i="105"/>
  <c r="B118" i="105"/>
  <c r="D118" i="105"/>
  <c r="B117" i="105"/>
  <c r="D117" i="105"/>
  <c r="B116" i="105"/>
  <c r="D116" i="105"/>
  <c r="B115" i="105"/>
  <c r="D115" i="105"/>
  <c r="B114" i="105"/>
  <c r="D114" i="105"/>
  <c r="B113" i="105"/>
  <c r="D113" i="105"/>
  <c r="B112" i="105"/>
  <c r="D112" i="105"/>
  <c r="B111" i="105"/>
  <c r="D111" i="105"/>
  <c r="B110" i="105"/>
  <c r="D110" i="105"/>
  <c r="B109" i="105"/>
  <c r="D109" i="105"/>
  <c r="B108" i="105"/>
  <c r="D108" i="105"/>
  <c r="B107" i="105"/>
  <c r="D107" i="105"/>
  <c r="B106" i="105"/>
  <c r="D106" i="105"/>
  <c r="B105" i="105"/>
  <c r="D105" i="105"/>
  <c r="B104" i="105"/>
  <c r="D104" i="105"/>
  <c r="B103" i="105"/>
  <c r="D103" i="105"/>
  <c r="B102" i="105"/>
  <c r="D102" i="105"/>
  <c r="B101" i="105"/>
  <c r="D101" i="105"/>
  <c r="B100" i="105"/>
  <c r="D100" i="105"/>
  <c r="B99" i="105"/>
  <c r="D99" i="105"/>
  <c r="B98" i="105"/>
  <c r="D98" i="105"/>
  <c r="B97" i="105"/>
  <c r="D97" i="105"/>
  <c r="B96" i="105"/>
  <c r="D96" i="105"/>
  <c r="D90" i="105"/>
  <c r="D89" i="105"/>
  <c r="D88" i="105"/>
  <c r="D87" i="105"/>
  <c r="D86" i="105"/>
  <c r="D85" i="105"/>
  <c r="D84" i="105"/>
  <c r="D83" i="105"/>
  <c r="D82" i="105"/>
  <c r="D81" i="105"/>
  <c r="D80" i="105"/>
  <c r="D79" i="105"/>
  <c r="D78" i="105"/>
  <c r="D77" i="105"/>
  <c r="D76" i="105"/>
  <c r="D75" i="105"/>
  <c r="D74" i="105"/>
  <c r="D73" i="105"/>
  <c r="D72" i="105"/>
  <c r="D71" i="105"/>
  <c r="D70" i="105"/>
  <c r="D69" i="105"/>
  <c r="D68" i="105"/>
  <c r="D67" i="105"/>
  <c r="D66" i="105"/>
  <c r="D60" i="105"/>
  <c r="D59" i="105"/>
  <c r="D58" i="105"/>
  <c r="D57" i="105"/>
  <c r="D56" i="105"/>
  <c r="D55" i="105"/>
  <c r="D54" i="105"/>
  <c r="D53" i="105"/>
  <c r="D52" i="105"/>
  <c r="D51" i="105"/>
  <c r="D50" i="105"/>
  <c r="D49" i="105"/>
  <c r="D48" i="105"/>
  <c r="D47" i="105"/>
  <c r="D46" i="105"/>
  <c r="D45" i="105"/>
  <c r="D44" i="105"/>
  <c r="D43" i="105"/>
  <c r="D42" i="105"/>
  <c r="D41" i="105"/>
  <c r="D40" i="105"/>
  <c r="D39" i="105"/>
  <c r="D38" i="105"/>
  <c r="D37" i="105"/>
  <c r="D36" i="105"/>
  <c r="D31" i="105"/>
  <c r="D30" i="105"/>
  <c r="D29" i="105"/>
  <c r="D28" i="105"/>
  <c r="D27" i="105"/>
  <c r="D26" i="105"/>
  <c r="D25" i="105"/>
  <c r="D24" i="105"/>
  <c r="D23" i="105"/>
  <c r="D22" i="105"/>
  <c r="D21" i="105"/>
  <c r="D20" i="105"/>
  <c r="D19" i="105"/>
  <c r="D18" i="105"/>
  <c r="D17" i="105"/>
  <c r="D16" i="105"/>
  <c r="D15" i="105"/>
  <c r="D14" i="105"/>
  <c r="D13" i="105"/>
  <c r="D12" i="105"/>
  <c r="D11" i="105"/>
  <c r="D10" i="105"/>
  <c r="D9" i="105"/>
  <c r="D8" i="105"/>
  <c r="D7" i="105"/>
  <c r="E7" i="102"/>
  <c r="E9" i="102"/>
  <c r="E11" i="102"/>
  <c r="E13" i="102"/>
  <c r="E15" i="102"/>
  <c r="E17" i="102"/>
  <c r="E19" i="102"/>
  <c r="E21" i="102"/>
  <c r="E23" i="102"/>
  <c r="E25" i="102"/>
  <c r="E27" i="102"/>
  <c r="E29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52" i="102"/>
  <c r="E53" i="102"/>
  <c r="E54" i="102"/>
  <c r="E55" i="102"/>
  <c r="E56" i="102"/>
  <c r="E57" i="102"/>
  <c r="E58" i="102"/>
  <c r="E59" i="102"/>
  <c r="E60" i="102"/>
  <c r="E61" i="102"/>
  <c r="D68" i="102"/>
  <c r="E68" i="102"/>
  <c r="D69" i="102"/>
  <c r="E69" i="102"/>
  <c r="D70" i="102"/>
  <c r="E70" i="102"/>
  <c r="D71" i="102"/>
  <c r="E71" i="102"/>
  <c r="D72" i="102"/>
  <c r="E72" i="102"/>
  <c r="D73" i="102"/>
  <c r="E73" i="102"/>
  <c r="D74" i="102"/>
  <c r="E74" i="102"/>
  <c r="D75" i="102"/>
  <c r="E75" i="102"/>
  <c r="D76" i="102"/>
  <c r="E76" i="102"/>
  <c r="D77" i="102"/>
  <c r="E77" i="102"/>
  <c r="D78" i="102"/>
  <c r="E78" i="102"/>
  <c r="D79" i="102"/>
  <c r="E79" i="102"/>
  <c r="D80" i="102"/>
  <c r="E80" i="102"/>
  <c r="D81" i="102"/>
  <c r="E81" i="102"/>
  <c r="D82" i="102"/>
  <c r="E82" i="102"/>
  <c r="D83" i="102"/>
  <c r="E83" i="102"/>
  <c r="D84" i="102"/>
  <c r="E84" i="102"/>
  <c r="D85" i="102"/>
  <c r="E85" i="102"/>
  <c r="D86" i="102"/>
  <c r="E86" i="102"/>
  <c r="D87" i="102"/>
  <c r="E87" i="102"/>
  <c r="D88" i="102"/>
  <c r="E88" i="102"/>
  <c r="D89" i="102"/>
  <c r="E89" i="102"/>
  <c r="D90" i="102"/>
  <c r="E90" i="102"/>
  <c r="D91" i="102"/>
  <c r="E91" i="102"/>
  <c r="D92" i="102"/>
  <c r="E92" i="102"/>
  <c r="F29" i="101"/>
  <c r="F28" i="101"/>
  <c r="F27" i="101"/>
  <c r="F26" i="101"/>
  <c r="F25" i="101"/>
  <c r="F24" i="101"/>
  <c r="F23" i="101"/>
  <c r="F22" i="101"/>
  <c r="F21" i="101"/>
  <c r="F20" i="101"/>
  <c r="F19" i="101"/>
  <c r="F18" i="101"/>
  <c r="F17" i="101"/>
  <c r="F16" i="101"/>
  <c r="F15" i="101"/>
  <c r="F14" i="101"/>
  <c r="F13" i="101"/>
  <c r="F12" i="101"/>
  <c r="F11" i="101"/>
  <c r="F10" i="101"/>
  <c r="F9" i="101"/>
  <c r="F8" i="101"/>
  <c r="F7" i="101"/>
  <c r="F6" i="101"/>
  <c r="B58" i="99"/>
  <c r="E87" i="99"/>
  <c r="B57" i="99"/>
  <c r="E86" i="99"/>
  <c r="B56" i="99"/>
  <c r="E85" i="99"/>
  <c r="B55" i="99"/>
  <c r="E84" i="99"/>
  <c r="B54" i="99"/>
  <c r="E83" i="99"/>
  <c r="B53" i="99"/>
  <c r="E82" i="99"/>
  <c r="B52" i="99"/>
  <c r="E81" i="99"/>
  <c r="B51" i="99"/>
  <c r="E80" i="99"/>
  <c r="B50" i="99"/>
  <c r="E79" i="99"/>
  <c r="B49" i="99"/>
  <c r="E78" i="99"/>
  <c r="B48" i="99"/>
  <c r="E77" i="99"/>
  <c r="B47" i="99"/>
  <c r="E76" i="99"/>
  <c r="B46" i="99"/>
  <c r="E75" i="99"/>
  <c r="B45" i="99"/>
  <c r="E74" i="99"/>
  <c r="B44" i="99"/>
  <c r="E73" i="99"/>
  <c r="B43" i="99"/>
  <c r="E72" i="99"/>
  <c r="B42" i="99"/>
  <c r="E71" i="99"/>
  <c r="B41" i="99"/>
  <c r="E70" i="99"/>
  <c r="B40" i="99"/>
  <c r="E69" i="99"/>
  <c r="B39" i="99"/>
  <c r="E68" i="99"/>
  <c r="B38" i="99"/>
  <c r="E67" i="99"/>
  <c r="B37" i="99"/>
  <c r="E66" i="99"/>
  <c r="B36" i="99"/>
  <c r="E65" i="99"/>
  <c r="B35" i="99"/>
  <c r="E64" i="99"/>
  <c r="B34" i="99"/>
  <c r="E63" i="99"/>
  <c r="G58" i="99"/>
  <c r="G57" i="99"/>
  <c r="G56" i="99"/>
  <c r="G55" i="99"/>
  <c r="G54" i="99"/>
  <c r="G53" i="99"/>
  <c r="G52" i="99"/>
  <c r="G51" i="99"/>
  <c r="G50" i="99"/>
  <c r="G49" i="99"/>
  <c r="G48" i="99"/>
  <c r="G47" i="99"/>
  <c r="G46" i="99"/>
  <c r="G45" i="99"/>
  <c r="G44" i="99"/>
  <c r="G43" i="99"/>
  <c r="G42" i="99"/>
  <c r="G41" i="99"/>
  <c r="G40" i="99"/>
  <c r="G39" i="99"/>
  <c r="G38" i="99"/>
  <c r="G37" i="99"/>
  <c r="G36" i="99"/>
  <c r="G35" i="99"/>
  <c r="G34" i="99"/>
  <c r="B29" i="99"/>
  <c r="F29" i="99"/>
  <c r="B28" i="99"/>
  <c r="F28" i="99"/>
  <c r="B27" i="99"/>
  <c r="F27" i="99"/>
  <c r="B26" i="99"/>
  <c r="F26" i="99"/>
  <c r="B25" i="99"/>
  <c r="F25" i="99"/>
  <c r="B24" i="99"/>
  <c r="F24" i="99"/>
  <c r="B23" i="99"/>
  <c r="F23" i="99"/>
  <c r="B22" i="99"/>
  <c r="F22" i="99"/>
  <c r="B21" i="99"/>
  <c r="F21" i="99"/>
  <c r="B20" i="99"/>
  <c r="F20" i="99"/>
  <c r="B19" i="99"/>
  <c r="F19" i="99"/>
  <c r="B18" i="99"/>
  <c r="F18" i="99"/>
  <c r="B17" i="99"/>
  <c r="F17" i="99"/>
  <c r="B16" i="99"/>
  <c r="F16" i="99"/>
  <c r="B15" i="99"/>
  <c r="F15" i="99"/>
  <c r="B14" i="99"/>
  <c r="F14" i="99"/>
  <c r="B13" i="99"/>
  <c r="F13" i="99"/>
  <c r="B12" i="99"/>
  <c r="F12" i="99"/>
  <c r="B11" i="99"/>
  <c r="F11" i="99"/>
  <c r="B10" i="99"/>
  <c r="F10" i="99"/>
  <c r="B9" i="99"/>
  <c r="F9" i="99"/>
  <c r="B8" i="99"/>
  <c r="F8" i="99"/>
  <c r="B7" i="99"/>
  <c r="F7" i="99"/>
  <c r="B6" i="99"/>
  <c r="F6" i="99"/>
  <c r="B5" i="99"/>
  <c r="F5" i="99"/>
  <c r="C92" i="98"/>
  <c r="D92" i="98"/>
  <c r="E92" i="98"/>
  <c r="C91" i="98"/>
  <c r="D91" i="98"/>
  <c r="E91" i="98"/>
  <c r="C90" i="98"/>
  <c r="D90" i="98"/>
  <c r="E90" i="98"/>
  <c r="C89" i="98"/>
  <c r="D89" i="98"/>
  <c r="E89" i="98"/>
  <c r="C88" i="98"/>
  <c r="D88" i="98"/>
  <c r="E88" i="98"/>
  <c r="C87" i="98"/>
  <c r="D87" i="98"/>
  <c r="E87" i="98"/>
  <c r="C86" i="98"/>
  <c r="D86" i="98"/>
  <c r="E86" i="98"/>
  <c r="C85" i="98"/>
  <c r="D85" i="98"/>
  <c r="E85" i="98"/>
  <c r="C84" i="98"/>
  <c r="D84" i="98"/>
  <c r="E84" i="98"/>
  <c r="C83" i="98"/>
  <c r="D83" i="98"/>
  <c r="E83" i="98"/>
  <c r="C82" i="98"/>
  <c r="D82" i="98"/>
  <c r="E82" i="98"/>
  <c r="C81" i="98"/>
  <c r="D81" i="98"/>
  <c r="E81" i="98"/>
  <c r="C80" i="98"/>
  <c r="D80" i="98"/>
  <c r="E80" i="98"/>
  <c r="C79" i="98"/>
  <c r="D79" i="98"/>
  <c r="E79" i="98"/>
  <c r="C78" i="98"/>
  <c r="D78" i="98"/>
  <c r="E78" i="98"/>
  <c r="C77" i="98"/>
  <c r="D77" i="98"/>
  <c r="E77" i="98"/>
  <c r="C76" i="98"/>
  <c r="D76" i="98"/>
  <c r="E76" i="98"/>
  <c r="C75" i="98"/>
  <c r="D75" i="98"/>
  <c r="E75" i="98"/>
  <c r="C74" i="98"/>
  <c r="D74" i="98"/>
  <c r="E74" i="98"/>
  <c r="C73" i="98"/>
  <c r="D73" i="98"/>
  <c r="E73" i="98"/>
  <c r="C72" i="98"/>
  <c r="D72" i="98"/>
  <c r="E72" i="98"/>
  <c r="C71" i="98"/>
  <c r="D71" i="98"/>
  <c r="E71" i="98"/>
  <c r="C70" i="98"/>
  <c r="D70" i="98"/>
  <c r="E70" i="98"/>
  <c r="C69" i="98"/>
  <c r="D69" i="98"/>
  <c r="E69" i="98"/>
  <c r="C68" i="98"/>
  <c r="D68" i="98"/>
  <c r="E68" i="98"/>
  <c r="C61" i="98"/>
  <c r="E61" i="98"/>
  <c r="C60" i="98"/>
  <c r="E60" i="98"/>
  <c r="C59" i="98"/>
  <c r="E59" i="98"/>
  <c r="C58" i="98"/>
  <c r="E58" i="98"/>
  <c r="C57" i="98"/>
  <c r="E57" i="98"/>
  <c r="C56" i="98"/>
  <c r="E56" i="98"/>
  <c r="C55" i="98"/>
  <c r="E55" i="98"/>
  <c r="C54" i="98"/>
  <c r="E54" i="98"/>
  <c r="C53" i="98"/>
  <c r="E53" i="98"/>
  <c r="C52" i="98"/>
  <c r="E52" i="98"/>
  <c r="C51" i="98"/>
  <c r="E51" i="98"/>
  <c r="C50" i="98"/>
  <c r="E50" i="98"/>
  <c r="C49" i="98"/>
  <c r="E49" i="98"/>
  <c r="C48" i="98"/>
  <c r="E48" i="98"/>
  <c r="C47" i="98"/>
  <c r="E47" i="98"/>
  <c r="C46" i="98"/>
  <c r="E46" i="98"/>
  <c r="C45" i="98"/>
  <c r="E45" i="98"/>
  <c r="C44" i="98"/>
  <c r="E44" i="98"/>
  <c r="C43" i="98"/>
  <c r="E43" i="98"/>
  <c r="C42" i="98"/>
  <c r="E42" i="98"/>
  <c r="C41" i="98"/>
  <c r="E41" i="98"/>
  <c r="C40" i="98"/>
  <c r="E40" i="98"/>
  <c r="C39" i="98"/>
  <c r="E39" i="98"/>
  <c r="C38" i="98"/>
  <c r="E38" i="98"/>
  <c r="C37" i="98"/>
  <c r="E37" i="98"/>
  <c r="C30" i="98"/>
  <c r="E30" i="98"/>
  <c r="C29" i="98"/>
  <c r="E29" i="98"/>
  <c r="C28" i="98"/>
  <c r="E28" i="98"/>
  <c r="C27" i="98"/>
  <c r="E27" i="98"/>
  <c r="C26" i="98"/>
  <c r="E26" i="98"/>
  <c r="C25" i="98"/>
  <c r="E25" i="98"/>
  <c r="C24" i="98"/>
  <c r="E24" i="98"/>
  <c r="C23" i="98"/>
  <c r="E23" i="98"/>
  <c r="C22" i="98"/>
  <c r="E22" i="98"/>
  <c r="C21" i="98"/>
  <c r="E21" i="98"/>
  <c r="C20" i="98"/>
  <c r="E20" i="98"/>
  <c r="C19" i="98"/>
  <c r="E19" i="98"/>
  <c r="C18" i="98"/>
  <c r="E18" i="98"/>
  <c r="C17" i="98"/>
  <c r="E17" i="98"/>
  <c r="C16" i="98"/>
  <c r="E16" i="98"/>
  <c r="C15" i="98"/>
  <c r="E15" i="98"/>
  <c r="C14" i="98"/>
  <c r="E14" i="98"/>
  <c r="C13" i="98"/>
  <c r="E13" i="98"/>
  <c r="C12" i="98"/>
  <c r="E12" i="98"/>
  <c r="C11" i="98"/>
  <c r="E11" i="98"/>
  <c r="C10" i="98"/>
  <c r="E10" i="98"/>
  <c r="C9" i="98"/>
  <c r="E9" i="98"/>
  <c r="C8" i="98"/>
  <c r="E8" i="98"/>
  <c r="C7" i="98"/>
  <c r="E7" i="98"/>
  <c r="C6" i="98"/>
  <c r="E6" i="98"/>
  <c r="B89" i="97"/>
  <c r="B180" i="97"/>
  <c r="D180" i="97"/>
  <c r="B88" i="97"/>
  <c r="B179" i="97"/>
  <c r="D179" i="97"/>
  <c r="B87" i="97"/>
  <c r="B178" i="97"/>
  <c r="D178" i="97"/>
  <c r="B86" i="97"/>
  <c r="B177" i="97"/>
  <c r="D177" i="97"/>
  <c r="B85" i="97"/>
  <c r="B176" i="97"/>
  <c r="D176" i="97"/>
  <c r="B84" i="97"/>
  <c r="B175" i="97"/>
  <c r="D175" i="97"/>
  <c r="B83" i="97"/>
  <c r="B174" i="97"/>
  <c r="D174" i="97"/>
  <c r="B82" i="97"/>
  <c r="B173" i="97"/>
  <c r="D173" i="97"/>
  <c r="B81" i="97"/>
  <c r="B172" i="97"/>
  <c r="D172" i="97"/>
  <c r="B80" i="97"/>
  <c r="B171" i="97"/>
  <c r="D171" i="97"/>
  <c r="B79" i="97"/>
  <c r="B170" i="97"/>
  <c r="D170" i="97"/>
  <c r="B78" i="97"/>
  <c r="B169" i="97"/>
  <c r="D169" i="97"/>
  <c r="B77" i="97"/>
  <c r="B168" i="97"/>
  <c r="D168" i="97"/>
  <c r="B76" i="97"/>
  <c r="B167" i="97"/>
  <c r="D167" i="97"/>
  <c r="B75" i="97"/>
  <c r="B166" i="97"/>
  <c r="D166" i="97"/>
  <c r="B74" i="97"/>
  <c r="B165" i="97"/>
  <c r="D165" i="97"/>
  <c r="B73" i="97"/>
  <c r="B164" i="97"/>
  <c r="D164" i="97"/>
  <c r="B72" i="97"/>
  <c r="B163" i="97"/>
  <c r="D163" i="97"/>
  <c r="B71" i="97"/>
  <c r="B162" i="97"/>
  <c r="D162" i="97"/>
  <c r="B70" i="97"/>
  <c r="B161" i="97"/>
  <c r="D161" i="97"/>
  <c r="B69" i="97"/>
  <c r="B160" i="97"/>
  <c r="D160" i="97"/>
  <c r="B68" i="97"/>
  <c r="B159" i="97"/>
  <c r="D159" i="97"/>
  <c r="B67" i="97"/>
  <c r="B158" i="97"/>
  <c r="D158" i="97"/>
  <c r="B66" i="97"/>
  <c r="B157" i="97"/>
  <c r="D157" i="97"/>
  <c r="B65" i="97"/>
  <c r="B156" i="97"/>
  <c r="D156" i="97"/>
  <c r="B30" i="97"/>
  <c r="B151" i="97"/>
  <c r="D151" i="97"/>
  <c r="B29" i="97"/>
  <c r="B150" i="97"/>
  <c r="D150" i="97"/>
  <c r="B28" i="97"/>
  <c r="B149" i="97"/>
  <c r="D149" i="97"/>
  <c r="B27" i="97"/>
  <c r="B148" i="97"/>
  <c r="D148" i="97"/>
  <c r="B26" i="97"/>
  <c r="B147" i="97"/>
  <c r="D147" i="97"/>
  <c r="B25" i="97"/>
  <c r="B146" i="97"/>
  <c r="D146" i="97"/>
  <c r="B24" i="97"/>
  <c r="B145" i="97"/>
  <c r="D145" i="97"/>
  <c r="B23" i="97"/>
  <c r="B144" i="97"/>
  <c r="D144" i="97"/>
  <c r="B22" i="97"/>
  <c r="B143" i="97"/>
  <c r="D143" i="97"/>
  <c r="B21" i="97"/>
  <c r="B142" i="97"/>
  <c r="D142" i="97"/>
  <c r="B20" i="97"/>
  <c r="B141" i="97"/>
  <c r="D141" i="97"/>
  <c r="B19" i="97"/>
  <c r="B140" i="97"/>
  <c r="D140" i="97"/>
  <c r="B18" i="97"/>
  <c r="B139" i="97"/>
  <c r="D139" i="97"/>
  <c r="B17" i="97"/>
  <c r="B138" i="97"/>
  <c r="D138" i="97"/>
  <c r="B16" i="97"/>
  <c r="B137" i="97"/>
  <c r="D137" i="97"/>
  <c r="B15" i="97"/>
  <c r="B136" i="97"/>
  <c r="D136" i="97"/>
  <c r="B14" i="97"/>
  <c r="B135" i="97"/>
  <c r="D135" i="97"/>
  <c r="B13" i="97"/>
  <c r="B134" i="97"/>
  <c r="D134" i="97"/>
  <c r="B12" i="97"/>
  <c r="B133" i="97"/>
  <c r="D133" i="97"/>
  <c r="B11" i="97"/>
  <c r="B132" i="97"/>
  <c r="D132" i="97"/>
  <c r="B10" i="97"/>
  <c r="B131" i="97"/>
  <c r="D131" i="97"/>
  <c r="B9" i="97"/>
  <c r="B130" i="97"/>
  <c r="D130" i="97"/>
  <c r="B8" i="97"/>
  <c r="B129" i="97"/>
  <c r="D129" i="97"/>
  <c r="B7" i="97"/>
  <c r="B128" i="97"/>
  <c r="D128" i="97"/>
  <c r="B6" i="97"/>
  <c r="B127" i="97"/>
  <c r="D127" i="97"/>
  <c r="B60" i="97"/>
  <c r="B121" i="97"/>
  <c r="D121" i="97"/>
  <c r="B59" i="97"/>
  <c r="B120" i="97"/>
  <c r="D120" i="97"/>
  <c r="B58" i="97"/>
  <c r="B119" i="97"/>
  <c r="D119" i="97"/>
  <c r="B57" i="97"/>
  <c r="B118" i="97"/>
  <c r="D118" i="97"/>
  <c r="B56" i="97"/>
  <c r="B117" i="97"/>
  <c r="D117" i="97"/>
  <c r="B55" i="97"/>
  <c r="B116" i="97"/>
  <c r="D116" i="97"/>
  <c r="B54" i="97"/>
  <c r="B115" i="97"/>
  <c r="D115" i="97"/>
  <c r="B53" i="97"/>
  <c r="B114" i="97"/>
  <c r="D114" i="97"/>
  <c r="B52" i="97"/>
  <c r="B113" i="97"/>
  <c r="D113" i="97"/>
  <c r="B51" i="97"/>
  <c r="B112" i="97"/>
  <c r="D112" i="97"/>
  <c r="B50" i="97"/>
  <c r="B111" i="97"/>
  <c r="D111" i="97"/>
  <c r="B49" i="97"/>
  <c r="B110" i="97"/>
  <c r="D110" i="97"/>
  <c r="B48" i="97"/>
  <c r="B109" i="97"/>
  <c r="D109" i="97"/>
  <c r="B47" i="97"/>
  <c r="B108" i="97"/>
  <c r="D108" i="97"/>
  <c r="B46" i="97"/>
  <c r="B107" i="97"/>
  <c r="D107" i="97"/>
  <c r="B45" i="97"/>
  <c r="B106" i="97"/>
  <c r="D106" i="97"/>
  <c r="B44" i="97"/>
  <c r="B105" i="97"/>
  <c r="D105" i="97"/>
  <c r="B43" i="97"/>
  <c r="B104" i="97"/>
  <c r="D104" i="97"/>
  <c r="B42" i="97"/>
  <c r="B103" i="97"/>
  <c r="D103" i="97"/>
  <c r="B41" i="97"/>
  <c r="B102" i="97"/>
  <c r="D102" i="97"/>
  <c r="B40" i="97"/>
  <c r="B101" i="97"/>
  <c r="D101" i="97"/>
  <c r="B39" i="97"/>
  <c r="B100" i="97"/>
  <c r="D100" i="97"/>
  <c r="B38" i="97"/>
  <c r="B99" i="97"/>
  <c r="D99" i="97"/>
  <c r="B37" i="97"/>
  <c r="B98" i="97"/>
  <c r="D98" i="97"/>
  <c r="B36" i="97"/>
  <c r="B97" i="97"/>
  <c r="D97" i="97"/>
  <c r="D89" i="97"/>
  <c r="D88" i="97"/>
  <c r="D87" i="97"/>
  <c r="D86" i="97"/>
  <c r="D85" i="97"/>
  <c r="D84" i="97"/>
  <c r="D83" i="97"/>
  <c r="D82" i="97"/>
  <c r="D81" i="97"/>
  <c r="D80" i="97"/>
  <c r="D79" i="97"/>
  <c r="D78" i="97"/>
  <c r="D77" i="97"/>
  <c r="D76" i="97"/>
  <c r="D75" i="97"/>
  <c r="D74" i="97"/>
  <c r="D73" i="97"/>
  <c r="D72" i="97"/>
  <c r="D71" i="97"/>
  <c r="D70" i="97"/>
  <c r="D69" i="97"/>
  <c r="D68" i="97"/>
  <c r="D67" i="97"/>
  <c r="D66" i="97"/>
  <c r="D65" i="97"/>
  <c r="D60" i="97"/>
  <c r="D59" i="97"/>
  <c r="D58" i="97"/>
  <c r="D57" i="97"/>
  <c r="D56" i="97"/>
  <c r="D55" i="97"/>
  <c r="D54" i="97"/>
  <c r="D53" i="97"/>
  <c r="D52" i="97"/>
  <c r="D51" i="97"/>
  <c r="D50" i="97"/>
  <c r="D49" i="97"/>
  <c r="D48" i="97"/>
  <c r="D47" i="97"/>
  <c r="D46" i="97"/>
  <c r="D45" i="97"/>
  <c r="D44" i="97"/>
  <c r="D43" i="97"/>
  <c r="D42" i="97"/>
  <c r="D41" i="97"/>
  <c r="D40" i="97"/>
  <c r="D39" i="97"/>
  <c r="D38" i="97"/>
  <c r="D37" i="97"/>
  <c r="D36" i="97"/>
  <c r="D30" i="97"/>
  <c r="D29" i="97"/>
  <c r="D28" i="97"/>
  <c r="D27" i="97"/>
  <c r="D26" i="97"/>
  <c r="D25" i="97"/>
  <c r="D24" i="97"/>
  <c r="D23" i="97"/>
  <c r="D22" i="97"/>
  <c r="D21" i="97"/>
  <c r="D20" i="97"/>
  <c r="D19" i="97"/>
  <c r="D18" i="97"/>
  <c r="D17" i="97"/>
  <c r="D16" i="97"/>
  <c r="D15" i="97"/>
  <c r="D14" i="97"/>
  <c r="D13" i="97"/>
  <c r="D12" i="97"/>
  <c r="D11" i="97"/>
  <c r="D10" i="97"/>
  <c r="D9" i="97"/>
  <c r="D8" i="97"/>
  <c r="D7" i="97"/>
  <c r="D6" i="97"/>
  <c r="B31" i="96"/>
  <c r="B60" i="96"/>
  <c r="B149" i="96"/>
  <c r="B237" i="96"/>
  <c r="C237" i="96"/>
  <c r="E237" i="96"/>
  <c r="B30" i="96"/>
  <c r="B59" i="96"/>
  <c r="B148" i="96"/>
  <c r="B236" i="96"/>
  <c r="C236" i="96"/>
  <c r="E236" i="96"/>
  <c r="B29" i="96"/>
  <c r="B58" i="96"/>
  <c r="B147" i="96"/>
  <c r="B235" i="96"/>
  <c r="C235" i="96"/>
  <c r="E235" i="96"/>
  <c r="B28" i="96"/>
  <c r="B57" i="96"/>
  <c r="B146" i="96"/>
  <c r="B234" i="96"/>
  <c r="C234" i="96"/>
  <c r="E234" i="96"/>
  <c r="B27" i="96"/>
  <c r="B56" i="96"/>
  <c r="B145" i="96"/>
  <c r="B233" i="96"/>
  <c r="C233" i="96"/>
  <c r="E233" i="96"/>
  <c r="B26" i="96"/>
  <c r="B55" i="96"/>
  <c r="B144" i="96"/>
  <c r="B232" i="96"/>
  <c r="C232" i="96"/>
  <c r="E232" i="96"/>
  <c r="B25" i="96"/>
  <c r="B54" i="96"/>
  <c r="B143" i="96"/>
  <c r="B231" i="96"/>
  <c r="C231" i="96"/>
  <c r="E231" i="96"/>
  <c r="B24" i="96"/>
  <c r="B53" i="96"/>
  <c r="B142" i="96"/>
  <c r="B230" i="96"/>
  <c r="C230" i="96"/>
  <c r="E230" i="96"/>
  <c r="B23" i="96"/>
  <c r="B52" i="96"/>
  <c r="B141" i="96"/>
  <c r="B229" i="96"/>
  <c r="C229" i="96"/>
  <c r="E229" i="96"/>
  <c r="B22" i="96"/>
  <c r="B51" i="96"/>
  <c r="B140" i="96"/>
  <c r="B228" i="96"/>
  <c r="C228" i="96"/>
  <c r="E228" i="96"/>
  <c r="B21" i="96"/>
  <c r="B50" i="96"/>
  <c r="B139" i="96"/>
  <c r="B227" i="96"/>
  <c r="C227" i="96"/>
  <c r="E227" i="96"/>
  <c r="B20" i="96"/>
  <c r="B49" i="96"/>
  <c r="B138" i="96"/>
  <c r="B226" i="96"/>
  <c r="C226" i="96"/>
  <c r="E226" i="96"/>
  <c r="B19" i="96"/>
  <c r="B48" i="96"/>
  <c r="B137" i="96"/>
  <c r="B225" i="96"/>
  <c r="C225" i="96"/>
  <c r="E225" i="96"/>
  <c r="B18" i="96"/>
  <c r="B47" i="96"/>
  <c r="B136" i="96"/>
  <c r="B224" i="96"/>
  <c r="C224" i="96"/>
  <c r="E224" i="96"/>
  <c r="B17" i="96"/>
  <c r="B46" i="96"/>
  <c r="B135" i="96"/>
  <c r="B223" i="96"/>
  <c r="C223" i="96"/>
  <c r="E223" i="96"/>
  <c r="B16" i="96"/>
  <c r="B45" i="96"/>
  <c r="B134" i="96"/>
  <c r="B222" i="96"/>
  <c r="C222" i="96"/>
  <c r="E222" i="96"/>
  <c r="B15" i="96"/>
  <c r="B44" i="96"/>
  <c r="B133" i="96"/>
  <c r="B221" i="96"/>
  <c r="C221" i="96"/>
  <c r="E221" i="96"/>
  <c r="B14" i="96"/>
  <c r="B43" i="96"/>
  <c r="B132" i="96"/>
  <c r="B220" i="96"/>
  <c r="C220" i="96"/>
  <c r="E220" i="96"/>
  <c r="B13" i="96"/>
  <c r="B42" i="96"/>
  <c r="B131" i="96"/>
  <c r="B219" i="96"/>
  <c r="C219" i="96"/>
  <c r="E219" i="96"/>
  <c r="B12" i="96"/>
  <c r="B41" i="96"/>
  <c r="B130" i="96"/>
  <c r="B218" i="96"/>
  <c r="C218" i="96"/>
  <c r="E218" i="96"/>
  <c r="B11" i="96"/>
  <c r="B40" i="96"/>
  <c r="B129" i="96"/>
  <c r="B217" i="96"/>
  <c r="C217" i="96"/>
  <c r="E217" i="96"/>
  <c r="B10" i="96"/>
  <c r="B39" i="96"/>
  <c r="B128" i="96"/>
  <c r="B216" i="96"/>
  <c r="C216" i="96"/>
  <c r="E216" i="96"/>
  <c r="B9" i="96"/>
  <c r="B38" i="96"/>
  <c r="B127" i="96"/>
  <c r="B215" i="96"/>
  <c r="C215" i="96"/>
  <c r="E215" i="96"/>
  <c r="B8" i="96"/>
  <c r="B37" i="96"/>
  <c r="B126" i="96"/>
  <c r="B214" i="96"/>
  <c r="C214" i="96"/>
  <c r="E214" i="96"/>
  <c r="B7" i="96"/>
  <c r="B36" i="96"/>
  <c r="B125" i="96"/>
  <c r="B213" i="96"/>
  <c r="C213" i="96"/>
  <c r="E213" i="96"/>
  <c r="B178" i="96"/>
  <c r="B208" i="96"/>
  <c r="C208" i="96"/>
  <c r="E208" i="96"/>
  <c r="B177" i="96"/>
  <c r="B207" i="96"/>
  <c r="C207" i="96"/>
  <c r="E207" i="96"/>
  <c r="B176" i="96"/>
  <c r="B206" i="96"/>
  <c r="C206" i="96"/>
  <c r="E206" i="96"/>
  <c r="B175" i="96"/>
  <c r="B205" i="96"/>
  <c r="C205" i="96"/>
  <c r="E205" i="96"/>
  <c r="B174" i="96"/>
  <c r="B204" i="96"/>
  <c r="C204" i="96"/>
  <c r="E204" i="96"/>
  <c r="B173" i="96"/>
  <c r="B203" i="96"/>
  <c r="C203" i="96"/>
  <c r="E203" i="96"/>
  <c r="B172" i="96"/>
  <c r="B202" i="96"/>
  <c r="C202" i="96"/>
  <c r="E202" i="96"/>
  <c r="B171" i="96"/>
  <c r="B201" i="96"/>
  <c r="C201" i="96"/>
  <c r="E201" i="96"/>
  <c r="B170" i="96"/>
  <c r="B200" i="96"/>
  <c r="C200" i="96"/>
  <c r="E200" i="96"/>
  <c r="B169" i="96"/>
  <c r="B199" i="96"/>
  <c r="C199" i="96"/>
  <c r="E199" i="96"/>
  <c r="B168" i="96"/>
  <c r="B198" i="96"/>
  <c r="C198" i="96"/>
  <c r="E198" i="96"/>
  <c r="B167" i="96"/>
  <c r="B197" i="96"/>
  <c r="C197" i="96"/>
  <c r="E197" i="96"/>
  <c r="B166" i="96"/>
  <c r="B196" i="96"/>
  <c r="C196" i="96"/>
  <c r="E196" i="96"/>
  <c r="B165" i="96"/>
  <c r="B195" i="96"/>
  <c r="C195" i="96"/>
  <c r="E195" i="96"/>
  <c r="B164" i="96"/>
  <c r="B194" i="96"/>
  <c r="C194" i="96"/>
  <c r="E194" i="96"/>
  <c r="B163" i="96"/>
  <c r="B193" i="96"/>
  <c r="C193" i="96"/>
  <c r="E193" i="96"/>
  <c r="B162" i="96"/>
  <c r="B192" i="96"/>
  <c r="C192" i="96"/>
  <c r="E192" i="96"/>
  <c r="B161" i="96"/>
  <c r="B191" i="96"/>
  <c r="C191" i="96"/>
  <c r="E191" i="96"/>
  <c r="B160" i="96"/>
  <c r="B190" i="96"/>
  <c r="C190" i="96"/>
  <c r="E190" i="96"/>
  <c r="B159" i="96"/>
  <c r="B189" i="96"/>
  <c r="C189" i="96"/>
  <c r="E189" i="96"/>
  <c r="B158" i="96"/>
  <c r="B188" i="96"/>
  <c r="C188" i="96"/>
  <c r="E188" i="96"/>
  <c r="B157" i="96"/>
  <c r="B187" i="96"/>
  <c r="C187" i="96"/>
  <c r="E187" i="96"/>
  <c r="B156" i="96"/>
  <c r="B186" i="96"/>
  <c r="C186" i="96"/>
  <c r="E186" i="96"/>
  <c r="B155" i="96"/>
  <c r="B185" i="96"/>
  <c r="C185" i="96"/>
  <c r="E185" i="96"/>
  <c r="B154" i="96"/>
  <c r="B184" i="96"/>
  <c r="C184" i="96"/>
  <c r="E184" i="96"/>
  <c r="D178" i="96"/>
  <c r="D177" i="96"/>
  <c r="D176" i="96"/>
  <c r="D175" i="96"/>
  <c r="D174" i="96"/>
  <c r="D173" i="96"/>
  <c r="D172" i="96"/>
  <c r="D171" i="96"/>
  <c r="D170" i="96"/>
  <c r="D169" i="96"/>
  <c r="D168" i="96"/>
  <c r="D167" i="96"/>
  <c r="D166" i="96"/>
  <c r="D165" i="96"/>
  <c r="D164" i="96"/>
  <c r="D163" i="96"/>
  <c r="D162" i="96"/>
  <c r="D161" i="96"/>
  <c r="D160" i="96"/>
  <c r="D159" i="96"/>
  <c r="D158" i="96"/>
  <c r="D157" i="96"/>
  <c r="D156" i="96"/>
  <c r="D155" i="96"/>
  <c r="D154" i="96"/>
  <c r="D149" i="96"/>
  <c r="D148" i="96"/>
  <c r="D147" i="96"/>
  <c r="D146" i="96"/>
  <c r="D145" i="96"/>
  <c r="D144" i="96"/>
  <c r="D143" i="96"/>
  <c r="D142" i="96"/>
  <c r="D141" i="96"/>
  <c r="D140" i="96"/>
  <c r="D139" i="96"/>
  <c r="D138" i="96"/>
  <c r="D137" i="96"/>
  <c r="D136" i="96"/>
  <c r="D135" i="96"/>
  <c r="D134" i="96"/>
  <c r="D133" i="96"/>
  <c r="D132" i="96"/>
  <c r="D131" i="96"/>
  <c r="D130" i="96"/>
  <c r="D129" i="96"/>
  <c r="D128" i="96"/>
  <c r="D127" i="96"/>
  <c r="D126" i="96"/>
  <c r="D125" i="96"/>
  <c r="B120" i="96"/>
  <c r="D120" i="96"/>
  <c r="B119" i="96"/>
  <c r="D119" i="96"/>
  <c r="B118" i="96"/>
  <c r="D118" i="96"/>
  <c r="B117" i="96"/>
  <c r="D117" i="96"/>
  <c r="B116" i="96"/>
  <c r="D116" i="96"/>
  <c r="B115" i="96"/>
  <c r="D115" i="96"/>
  <c r="B114" i="96"/>
  <c r="D114" i="96"/>
  <c r="B113" i="96"/>
  <c r="D113" i="96"/>
  <c r="B112" i="96"/>
  <c r="D112" i="96"/>
  <c r="B111" i="96"/>
  <c r="D111" i="96"/>
  <c r="B110" i="96"/>
  <c r="D110" i="96"/>
  <c r="B109" i="96"/>
  <c r="D109" i="96"/>
  <c r="B108" i="96"/>
  <c r="D108" i="96"/>
  <c r="B107" i="96"/>
  <c r="D107" i="96"/>
  <c r="B106" i="96"/>
  <c r="D106" i="96"/>
  <c r="B105" i="96"/>
  <c r="D105" i="96"/>
  <c r="B104" i="96"/>
  <c r="D104" i="96"/>
  <c r="B103" i="96"/>
  <c r="D103" i="96"/>
  <c r="B102" i="96"/>
  <c r="D102" i="96"/>
  <c r="B101" i="96"/>
  <c r="D101" i="96"/>
  <c r="B100" i="96"/>
  <c r="D100" i="96"/>
  <c r="B99" i="96"/>
  <c r="D99" i="96"/>
  <c r="B98" i="96"/>
  <c r="D98" i="96"/>
  <c r="B97" i="96"/>
  <c r="D97" i="96"/>
  <c r="B96" i="96"/>
  <c r="D96" i="96"/>
  <c r="B90" i="96"/>
  <c r="D90" i="96"/>
  <c r="B89" i="96"/>
  <c r="D89" i="96"/>
  <c r="B88" i="96"/>
  <c r="D88" i="96"/>
  <c r="B87" i="96"/>
  <c r="D87" i="96"/>
  <c r="B86" i="96"/>
  <c r="D86" i="96"/>
  <c r="B85" i="96"/>
  <c r="D85" i="96"/>
  <c r="B84" i="96"/>
  <c r="D84" i="96"/>
  <c r="B83" i="96"/>
  <c r="D83" i="96"/>
  <c r="B82" i="96"/>
  <c r="D82" i="96"/>
  <c r="B81" i="96"/>
  <c r="D81" i="96"/>
  <c r="B80" i="96"/>
  <c r="D80" i="96"/>
  <c r="B79" i="96"/>
  <c r="D79" i="96"/>
  <c r="B78" i="96"/>
  <c r="D78" i="96"/>
  <c r="B77" i="96"/>
  <c r="D77" i="96"/>
  <c r="B76" i="96"/>
  <c r="D76" i="96"/>
  <c r="B75" i="96"/>
  <c r="D75" i="96"/>
  <c r="B74" i="96"/>
  <c r="D74" i="96"/>
  <c r="B73" i="96"/>
  <c r="D73" i="96"/>
  <c r="B72" i="96"/>
  <c r="D72" i="96"/>
  <c r="B71" i="96"/>
  <c r="D71" i="96"/>
  <c r="B70" i="96"/>
  <c r="D70" i="96"/>
  <c r="B69" i="96"/>
  <c r="D69" i="96"/>
  <c r="B68" i="96"/>
  <c r="D68" i="96"/>
  <c r="B67" i="96"/>
  <c r="D67" i="96"/>
  <c r="B66" i="96"/>
  <c r="D66" i="96"/>
  <c r="D60" i="96"/>
  <c r="D59" i="96"/>
  <c r="D58" i="96"/>
  <c r="D57" i="96"/>
  <c r="D56" i="96"/>
  <c r="D55" i="96"/>
  <c r="D54" i="96"/>
  <c r="D53" i="96"/>
  <c r="D52" i="96"/>
  <c r="D51" i="96"/>
  <c r="D50" i="96"/>
  <c r="D49" i="96"/>
  <c r="D48" i="96"/>
  <c r="D47" i="96"/>
  <c r="D46" i="96"/>
  <c r="D45" i="96"/>
  <c r="D44" i="96"/>
  <c r="D43" i="96"/>
  <c r="D42" i="96"/>
  <c r="D41" i="96"/>
  <c r="D40" i="96"/>
  <c r="D39" i="96"/>
  <c r="D38" i="96"/>
  <c r="D37" i="96"/>
  <c r="D36" i="96"/>
  <c r="D31" i="96"/>
  <c r="D30" i="96"/>
  <c r="D29" i="96"/>
  <c r="D28" i="96"/>
  <c r="D27" i="96"/>
  <c r="D26" i="96"/>
  <c r="D25" i="96"/>
  <c r="D24" i="96"/>
  <c r="D23" i="96"/>
  <c r="D22" i="96"/>
  <c r="D21" i="96"/>
  <c r="D20" i="96"/>
  <c r="D19" i="96"/>
  <c r="D18" i="96"/>
  <c r="D17" i="96"/>
  <c r="D16" i="96"/>
  <c r="D15" i="96"/>
  <c r="D14" i="96"/>
  <c r="D13" i="96"/>
  <c r="D12" i="96"/>
  <c r="D11" i="96"/>
  <c r="D10" i="96"/>
  <c r="D9" i="96"/>
  <c r="D8" i="96"/>
  <c r="D7" i="96"/>
  <c r="B26" i="95"/>
  <c r="B25" i="95"/>
  <c r="B24" i="95"/>
  <c r="B23" i="95"/>
  <c r="B22" i="95"/>
  <c r="B21" i="95"/>
  <c r="B20" i="95"/>
  <c r="B19" i="95"/>
  <c r="B18" i="95"/>
  <c r="B17" i="95"/>
  <c r="B16" i="95"/>
  <c r="B15" i="95"/>
  <c r="B14" i="95"/>
  <c r="B13" i="95"/>
  <c r="B12" i="95"/>
  <c r="B11" i="95"/>
  <c r="B10" i="95"/>
  <c r="B9" i="95"/>
  <c r="B8" i="95"/>
  <c r="B7" i="95"/>
  <c r="B6" i="95"/>
  <c r="B5" i="95"/>
  <c r="B4" i="95"/>
  <c r="B3" i="95"/>
  <c r="B2" i="95"/>
  <c r="C7" i="91"/>
  <c r="B35" i="92"/>
  <c r="E64" i="92"/>
  <c r="C8" i="91"/>
  <c r="B36" i="92"/>
  <c r="E65" i="92"/>
  <c r="C9" i="91"/>
  <c r="B37" i="92"/>
  <c r="E66" i="92"/>
  <c r="C10" i="91"/>
  <c r="B38" i="92"/>
  <c r="E67" i="92"/>
  <c r="C11" i="91"/>
  <c r="B39" i="92"/>
  <c r="E68" i="92"/>
  <c r="C12" i="91"/>
  <c r="B40" i="92"/>
  <c r="E69" i="92"/>
  <c r="C13" i="91"/>
  <c r="B41" i="92"/>
  <c r="E70" i="92"/>
  <c r="C14" i="91"/>
  <c r="B42" i="92"/>
  <c r="E71" i="92"/>
  <c r="C15" i="91"/>
  <c r="B43" i="92"/>
  <c r="E72" i="92"/>
  <c r="C16" i="91"/>
  <c r="B44" i="92"/>
  <c r="E73" i="92"/>
  <c r="C17" i="91"/>
  <c r="B45" i="92"/>
  <c r="E74" i="92"/>
  <c r="C18" i="91"/>
  <c r="B46" i="92"/>
  <c r="E75" i="92"/>
  <c r="C19" i="91"/>
  <c r="B47" i="92"/>
  <c r="E76" i="92"/>
  <c r="C20" i="91"/>
  <c r="B48" i="92"/>
  <c r="E77" i="92"/>
  <c r="C21" i="91"/>
  <c r="B49" i="92"/>
  <c r="E78" i="92"/>
  <c r="C22" i="91"/>
  <c r="B50" i="92"/>
  <c r="E79" i="92"/>
  <c r="C23" i="91"/>
  <c r="B51" i="92"/>
  <c r="E80" i="92"/>
  <c r="C24" i="91"/>
  <c r="B52" i="92"/>
  <c r="E81" i="92"/>
  <c r="C25" i="91"/>
  <c r="B53" i="92"/>
  <c r="E82" i="92"/>
  <c r="C26" i="91"/>
  <c r="B54" i="92"/>
  <c r="E83" i="92"/>
  <c r="C27" i="91"/>
  <c r="B55" i="92"/>
  <c r="E84" i="92"/>
  <c r="C28" i="91"/>
  <c r="B56" i="92"/>
  <c r="E85" i="92"/>
  <c r="C29" i="91"/>
  <c r="B57" i="92"/>
  <c r="E86" i="92"/>
  <c r="C30" i="91"/>
  <c r="B58" i="92"/>
  <c r="E87" i="92"/>
  <c r="C6" i="91"/>
  <c r="B34" i="92"/>
  <c r="E63" i="92"/>
  <c r="B3" i="88"/>
  <c r="B6" i="92"/>
  <c r="B4" i="88"/>
  <c r="B7" i="92"/>
  <c r="B5" i="88"/>
  <c r="B8" i="92"/>
  <c r="B6" i="88"/>
  <c r="B9" i="92"/>
  <c r="B7" i="88"/>
  <c r="B10" i="92"/>
  <c r="B8" i="88"/>
  <c r="B11" i="92"/>
  <c r="B9" i="88"/>
  <c r="B12" i="92"/>
  <c r="B10" i="88"/>
  <c r="B13" i="92"/>
  <c r="B11" i="88"/>
  <c r="B14" i="92"/>
  <c r="B12" i="88"/>
  <c r="B15" i="92"/>
  <c r="B13" i="88"/>
  <c r="B16" i="92"/>
  <c r="B14" i="88"/>
  <c r="B17" i="92"/>
  <c r="B15" i="88"/>
  <c r="B18" i="92"/>
  <c r="B16" i="88"/>
  <c r="B19" i="92"/>
  <c r="B17" i="88"/>
  <c r="B20" i="92"/>
  <c r="B18" i="88"/>
  <c r="B21" i="92"/>
  <c r="B19" i="88"/>
  <c r="B22" i="92"/>
  <c r="B20" i="88"/>
  <c r="B23" i="92"/>
  <c r="B21" i="88"/>
  <c r="B24" i="92"/>
  <c r="B22" i="88"/>
  <c r="B25" i="92"/>
  <c r="B23" i="88"/>
  <c r="B26" i="92"/>
  <c r="B24" i="88"/>
  <c r="B27" i="92"/>
  <c r="B25" i="88"/>
  <c r="B28" i="92"/>
  <c r="B26" i="88"/>
  <c r="B29" i="92"/>
  <c r="B2" i="88"/>
  <c r="B5" i="92"/>
  <c r="B8" i="89"/>
  <c r="B37" i="89"/>
  <c r="B126" i="89"/>
  <c r="B214" i="89"/>
  <c r="B66" i="90"/>
  <c r="C69" i="91"/>
  <c r="D69" i="91"/>
  <c r="E69" i="91"/>
  <c r="B9" i="89"/>
  <c r="B38" i="89"/>
  <c r="B127" i="89"/>
  <c r="B215" i="89"/>
  <c r="B67" i="90"/>
  <c r="C70" i="91"/>
  <c r="D70" i="91"/>
  <c r="E70" i="91"/>
  <c r="B10" i="89"/>
  <c r="B39" i="89"/>
  <c r="B128" i="89"/>
  <c r="B216" i="89"/>
  <c r="B68" i="90"/>
  <c r="C71" i="91"/>
  <c r="D71" i="91"/>
  <c r="E71" i="91"/>
  <c r="B11" i="89"/>
  <c r="B40" i="89"/>
  <c r="B129" i="89"/>
  <c r="B217" i="89"/>
  <c r="B69" i="90"/>
  <c r="C72" i="91"/>
  <c r="D72" i="91"/>
  <c r="E72" i="91"/>
  <c r="B12" i="89"/>
  <c r="B41" i="89"/>
  <c r="B130" i="89"/>
  <c r="B218" i="89"/>
  <c r="B70" i="90"/>
  <c r="C73" i="91"/>
  <c r="D73" i="91"/>
  <c r="E73" i="91"/>
  <c r="B13" i="89"/>
  <c r="B42" i="89"/>
  <c r="B131" i="89"/>
  <c r="B219" i="89"/>
  <c r="B71" i="90"/>
  <c r="C74" i="91"/>
  <c r="D74" i="91"/>
  <c r="E74" i="91"/>
  <c r="B14" i="89"/>
  <c r="B43" i="89"/>
  <c r="B132" i="89"/>
  <c r="B220" i="89"/>
  <c r="B72" i="90"/>
  <c r="C75" i="91"/>
  <c r="D75" i="91"/>
  <c r="E75" i="91"/>
  <c r="B15" i="89"/>
  <c r="B44" i="89"/>
  <c r="B133" i="89"/>
  <c r="B221" i="89"/>
  <c r="B73" i="90"/>
  <c r="C76" i="91"/>
  <c r="D76" i="91"/>
  <c r="E76" i="91"/>
  <c r="B16" i="89"/>
  <c r="B45" i="89"/>
  <c r="B134" i="89"/>
  <c r="B222" i="89"/>
  <c r="B74" i="90"/>
  <c r="C77" i="91"/>
  <c r="D77" i="91"/>
  <c r="E77" i="91"/>
  <c r="B17" i="89"/>
  <c r="B46" i="89"/>
  <c r="B135" i="89"/>
  <c r="B223" i="89"/>
  <c r="B75" i="90"/>
  <c r="C78" i="91"/>
  <c r="D78" i="91"/>
  <c r="E78" i="91"/>
  <c r="B18" i="89"/>
  <c r="B47" i="89"/>
  <c r="B136" i="89"/>
  <c r="B224" i="89"/>
  <c r="B76" i="90"/>
  <c r="C79" i="91"/>
  <c r="D79" i="91"/>
  <c r="E79" i="91"/>
  <c r="B19" i="89"/>
  <c r="B48" i="89"/>
  <c r="B137" i="89"/>
  <c r="B225" i="89"/>
  <c r="B77" i="90"/>
  <c r="C80" i="91"/>
  <c r="D80" i="91"/>
  <c r="E80" i="91"/>
  <c r="B20" i="89"/>
  <c r="B49" i="89"/>
  <c r="B138" i="89"/>
  <c r="B226" i="89"/>
  <c r="B78" i="90"/>
  <c r="C81" i="91"/>
  <c r="D81" i="91"/>
  <c r="E81" i="91"/>
  <c r="B21" i="89"/>
  <c r="B50" i="89"/>
  <c r="B139" i="89"/>
  <c r="B227" i="89"/>
  <c r="B79" i="90"/>
  <c r="C82" i="91"/>
  <c r="D82" i="91"/>
  <c r="E82" i="91"/>
  <c r="B22" i="89"/>
  <c r="B51" i="89"/>
  <c r="B140" i="89"/>
  <c r="B228" i="89"/>
  <c r="B80" i="90"/>
  <c r="C83" i="91"/>
  <c r="D83" i="91"/>
  <c r="E83" i="91"/>
  <c r="B23" i="89"/>
  <c r="B52" i="89"/>
  <c r="B141" i="89"/>
  <c r="B229" i="89"/>
  <c r="B81" i="90"/>
  <c r="C84" i="91"/>
  <c r="D84" i="91"/>
  <c r="E84" i="91"/>
  <c r="B24" i="89"/>
  <c r="B53" i="89"/>
  <c r="B142" i="89"/>
  <c r="B230" i="89"/>
  <c r="B82" i="90"/>
  <c r="C85" i="91"/>
  <c r="D85" i="91"/>
  <c r="E85" i="91"/>
  <c r="B25" i="89"/>
  <c r="B54" i="89"/>
  <c r="B143" i="89"/>
  <c r="B231" i="89"/>
  <c r="B83" i="90"/>
  <c r="C86" i="91"/>
  <c r="D86" i="91"/>
  <c r="E86" i="91"/>
  <c r="B26" i="89"/>
  <c r="B55" i="89"/>
  <c r="B144" i="89"/>
  <c r="B232" i="89"/>
  <c r="B84" i="90"/>
  <c r="C87" i="91"/>
  <c r="D87" i="91"/>
  <c r="E87" i="91"/>
  <c r="B27" i="89"/>
  <c r="B56" i="89"/>
  <c r="B145" i="89"/>
  <c r="B233" i="89"/>
  <c r="B85" i="90"/>
  <c r="C88" i="91"/>
  <c r="D88" i="91"/>
  <c r="E88" i="91"/>
  <c r="B28" i="89"/>
  <c r="B57" i="89"/>
  <c r="B146" i="89"/>
  <c r="B234" i="89"/>
  <c r="B86" i="90"/>
  <c r="C89" i="91"/>
  <c r="D89" i="91"/>
  <c r="E89" i="91"/>
  <c r="B29" i="89"/>
  <c r="B58" i="89"/>
  <c r="B147" i="89"/>
  <c r="B235" i="89"/>
  <c r="B87" i="90"/>
  <c r="C90" i="91"/>
  <c r="D90" i="91"/>
  <c r="E90" i="91"/>
  <c r="B30" i="89"/>
  <c r="B59" i="89"/>
  <c r="B148" i="89"/>
  <c r="B236" i="89"/>
  <c r="B88" i="90"/>
  <c r="C91" i="91"/>
  <c r="D91" i="91"/>
  <c r="E91" i="91"/>
  <c r="B31" i="89"/>
  <c r="B60" i="89"/>
  <c r="B149" i="89"/>
  <c r="B237" i="89"/>
  <c r="B89" i="90"/>
  <c r="C92" i="91"/>
  <c r="D92" i="91"/>
  <c r="E92" i="91"/>
  <c r="B7" i="89"/>
  <c r="B36" i="89"/>
  <c r="B125" i="89"/>
  <c r="B213" i="89"/>
  <c r="B65" i="90"/>
  <c r="C68" i="91"/>
  <c r="D68" i="91"/>
  <c r="E68" i="91"/>
  <c r="B37" i="90"/>
  <c r="C38" i="91"/>
  <c r="E38" i="91"/>
  <c r="B38" i="90"/>
  <c r="C39" i="91"/>
  <c r="E39" i="91"/>
  <c r="B39" i="90"/>
  <c r="C40" i="91"/>
  <c r="E40" i="91"/>
  <c r="B40" i="90"/>
  <c r="C41" i="91"/>
  <c r="E41" i="91"/>
  <c r="B41" i="90"/>
  <c r="C42" i="91"/>
  <c r="E42" i="91"/>
  <c r="B42" i="90"/>
  <c r="C43" i="91"/>
  <c r="E43" i="91"/>
  <c r="B43" i="90"/>
  <c r="C44" i="91"/>
  <c r="E44" i="91"/>
  <c r="B44" i="90"/>
  <c r="C45" i="91"/>
  <c r="E45" i="91"/>
  <c r="B45" i="90"/>
  <c r="C46" i="91"/>
  <c r="E46" i="91"/>
  <c r="B46" i="90"/>
  <c r="C47" i="91"/>
  <c r="E47" i="91"/>
  <c r="B47" i="90"/>
  <c r="C48" i="91"/>
  <c r="E48" i="91"/>
  <c r="B48" i="90"/>
  <c r="C49" i="91"/>
  <c r="E49" i="91"/>
  <c r="B49" i="90"/>
  <c r="C50" i="91"/>
  <c r="E50" i="91"/>
  <c r="B50" i="90"/>
  <c r="C51" i="91"/>
  <c r="E51" i="91"/>
  <c r="B51" i="90"/>
  <c r="C52" i="91"/>
  <c r="E52" i="91"/>
  <c r="B52" i="90"/>
  <c r="C53" i="91"/>
  <c r="E53" i="91"/>
  <c r="B53" i="90"/>
  <c r="C54" i="91"/>
  <c r="E54" i="91"/>
  <c r="B54" i="90"/>
  <c r="C55" i="91"/>
  <c r="E55" i="91"/>
  <c r="B55" i="90"/>
  <c r="C56" i="91"/>
  <c r="E56" i="91"/>
  <c r="B56" i="90"/>
  <c r="C57" i="91"/>
  <c r="E57" i="91"/>
  <c r="B57" i="90"/>
  <c r="C58" i="91"/>
  <c r="E58" i="91"/>
  <c r="B58" i="90"/>
  <c r="C59" i="91"/>
  <c r="E59" i="91"/>
  <c r="B59" i="90"/>
  <c r="C60" i="91"/>
  <c r="E60" i="91"/>
  <c r="B60" i="90"/>
  <c r="C61" i="91"/>
  <c r="E61" i="91"/>
  <c r="B36" i="90"/>
  <c r="C37" i="91"/>
  <c r="E37" i="91"/>
  <c r="I35" i="9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6" i="91"/>
  <c r="B157" i="90"/>
  <c r="D157" i="90"/>
  <c r="B158" i="90"/>
  <c r="D158" i="90"/>
  <c r="B159" i="90"/>
  <c r="D159" i="90"/>
  <c r="B160" i="90"/>
  <c r="D160" i="90"/>
  <c r="B161" i="90"/>
  <c r="D161" i="90"/>
  <c r="B162" i="90"/>
  <c r="D162" i="90"/>
  <c r="B163" i="90"/>
  <c r="D163" i="90"/>
  <c r="B164" i="90"/>
  <c r="D164" i="90"/>
  <c r="B165" i="90"/>
  <c r="D165" i="90"/>
  <c r="B166" i="90"/>
  <c r="D166" i="90"/>
  <c r="B167" i="90"/>
  <c r="D167" i="90"/>
  <c r="B168" i="90"/>
  <c r="D168" i="90"/>
  <c r="B169" i="90"/>
  <c r="D169" i="90"/>
  <c r="B170" i="90"/>
  <c r="D170" i="90"/>
  <c r="B171" i="90"/>
  <c r="D171" i="90"/>
  <c r="B172" i="90"/>
  <c r="D172" i="90"/>
  <c r="B173" i="90"/>
  <c r="D173" i="90"/>
  <c r="B174" i="90"/>
  <c r="D174" i="90"/>
  <c r="B175" i="90"/>
  <c r="D175" i="90"/>
  <c r="B176" i="90"/>
  <c r="D176" i="90"/>
  <c r="B177" i="90"/>
  <c r="D177" i="90"/>
  <c r="B178" i="90"/>
  <c r="D178" i="90"/>
  <c r="B179" i="90"/>
  <c r="D179" i="90"/>
  <c r="B180" i="90"/>
  <c r="D180" i="90"/>
  <c r="B156" i="90"/>
  <c r="D156" i="90"/>
  <c r="B7" i="90"/>
  <c r="B128" i="90"/>
  <c r="D128" i="90"/>
  <c r="B8" i="90"/>
  <c r="B129" i="90"/>
  <c r="D129" i="90"/>
  <c r="B9" i="90"/>
  <c r="B130" i="90"/>
  <c r="D130" i="90"/>
  <c r="B10" i="90"/>
  <c r="B131" i="90"/>
  <c r="D131" i="90"/>
  <c r="B11" i="90"/>
  <c r="B132" i="90"/>
  <c r="D132" i="90"/>
  <c r="B12" i="90"/>
  <c r="B133" i="90"/>
  <c r="D133" i="90"/>
  <c r="B13" i="90"/>
  <c r="B134" i="90"/>
  <c r="D134" i="90"/>
  <c r="B14" i="90"/>
  <c r="B135" i="90"/>
  <c r="D135" i="90"/>
  <c r="B15" i="90"/>
  <c r="B136" i="90"/>
  <c r="D136" i="90"/>
  <c r="B16" i="90"/>
  <c r="B137" i="90"/>
  <c r="D137" i="90"/>
  <c r="B17" i="90"/>
  <c r="B138" i="90"/>
  <c r="D138" i="90"/>
  <c r="B18" i="90"/>
  <c r="B139" i="90"/>
  <c r="D139" i="90"/>
  <c r="B19" i="90"/>
  <c r="B140" i="90"/>
  <c r="D140" i="90"/>
  <c r="B20" i="90"/>
  <c r="B141" i="90"/>
  <c r="D141" i="90"/>
  <c r="B21" i="90"/>
  <c r="B142" i="90"/>
  <c r="D142" i="90"/>
  <c r="B22" i="90"/>
  <c r="B143" i="90"/>
  <c r="D143" i="90"/>
  <c r="B23" i="90"/>
  <c r="B144" i="90"/>
  <c r="D144" i="90"/>
  <c r="B24" i="90"/>
  <c r="B145" i="90"/>
  <c r="D145" i="90"/>
  <c r="B25" i="90"/>
  <c r="B146" i="90"/>
  <c r="D146" i="90"/>
  <c r="B26" i="90"/>
  <c r="B147" i="90"/>
  <c r="D147" i="90"/>
  <c r="B27" i="90"/>
  <c r="B148" i="90"/>
  <c r="D148" i="90"/>
  <c r="B28" i="90"/>
  <c r="B149" i="90"/>
  <c r="D149" i="90"/>
  <c r="B29" i="90"/>
  <c r="B150" i="90"/>
  <c r="D150" i="90"/>
  <c r="B30" i="90"/>
  <c r="B151" i="90"/>
  <c r="D151" i="90"/>
  <c r="B6" i="90"/>
  <c r="B127" i="90"/>
  <c r="D127" i="90"/>
  <c r="K125" i="90"/>
  <c r="B98" i="90"/>
  <c r="D98" i="90"/>
  <c r="B99" i="90"/>
  <c r="D99" i="90"/>
  <c r="B100" i="90"/>
  <c r="D100" i="90"/>
  <c r="B101" i="90"/>
  <c r="D101" i="90"/>
  <c r="B102" i="90"/>
  <c r="D102" i="90"/>
  <c r="B103" i="90"/>
  <c r="D103" i="90"/>
  <c r="B104" i="90"/>
  <c r="D104" i="90"/>
  <c r="B105" i="90"/>
  <c r="D105" i="90"/>
  <c r="B106" i="90"/>
  <c r="D106" i="90"/>
  <c r="B107" i="90"/>
  <c r="D107" i="90"/>
  <c r="B108" i="90"/>
  <c r="D108" i="90"/>
  <c r="B109" i="90"/>
  <c r="D109" i="90"/>
  <c r="B110" i="90"/>
  <c r="D110" i="90"/>
  <c r="B111" i="90"/>
  <c r="D111" i="90"/>
  <c r="B112" i="90"/>
  <c r="D112" i="90"/>
  <c r="B113" i="90"/>
  <c r="D113" i="90"/>
  <c r="B114" i="90"/>
  <c r="D114" i="90"/>
  <c r="B115" i="90"/>
  <c r="D115" i="90"/>
  <c r="B116" i="90"/>
  <c r="D116" i="90"/>
  <c r="B117" i="90"/>
  <c r="D117" i="90"/>
  <c r="B118" i="90"/>
  <c r="D118" i="90"/>
  <c r="B119" i="90"/>
  <c r="D119" i="90"/>
  <c r="B120" i="90"/>
  <c r="D120" i="90"/>
  <c r="B121" i="90"/>
  <c r="D121" i="90"/>
  <c r="B97" i="90"/>
  <c r="D97" i="90"/>
  <c r="D66" i="90"/>
  <c r="D67" i="90"/>
  <c r="D68" i="90"/>
  <c r="D69" i="90"/>
  <c r="D70" i="90"/>
  <c r="D71" i="90"/>
  <c r="D72" i="90"/>
  <c r="D73" i="90"/>
  <c r="D74" i="90"/>
  <c r="D75" i="90"/>
  <c r="D76" i="90"/>
  <c r="D77" i="90"/>
  <c r="D78" i="90"/>
  <c r="D79" i="90"/>
  <c r="D80" i="90"/>
  <c r="D81" i="90"/>
  <c r="D82" i="90"/>
  <c r="D83" i="90"/>
  <c r="D84" i="90"/>
  <c r="D85" i="90"/>
  <c r="D86" i="90"/>
  <c r="D87" i="90"/>
  <c r="D88" i="90"/>
  <c r="D89" i="90"/>
  <c r="D65" i="90"/>
  <c r="D37" i="90"/>
  <c r="D38" i="90"/>
  <c r="D39" i="90"/>
  <c r="D40" i="90"/>
  <c r="D41" i="90"/>
  <c r="D42" i="90"/>
  <c r="D43" i="90"/>
  <c r="D44" i="90"/>
  <c r="D45" i="90"/>
  <c r="D46" i="90"/>
  <c r="D47" i="90"/>
  <c r="D48" i="90"/>
  <c r="D49" i="90"/>
  <c r="D50" i="90"/>
  <c r="D51" i="90"/>
  <c r="D52" i="90"/>
  <c r="D53" i="90"/>
  <c r="D54" i="90"/>
  <c r="D55" i="90"/>
  <c r="D56" i="90"/>
  <c r="D57" i="90"/>
  <c r="D58" i="90"/>
  <c r="D59" i="90"/>
  <c r="D60" i="90"/>
  <c r="D36" i="90"/>
  <c r="D7" i="90"/>
  <c r="D8" i="90"/>
  <c r="D9" i="90"/>
  <c r="D10" i="90"/>
  <c r="D11" i="90"/>
  <c r="D12" i="90"/>
  <c r="D13" i="90"/>
  <c r="D14" i="90"/>
  <c r="D15" i="90"/>
  <c r="D16" i="90"/>
  <c r="D17" i="90"/>
  <c r="D18" i="90"/>
  <c r="D19" i="90"/>
  <c r="D20" i="90"/>
  <c r="D21" i="90"/>
  <c r="D22" i="90"/>
  <c r="D23" i="90"/>
  <c r="D24" i="90"/>
  <c r="D25" i="90"/>
  <c r="D26" i="90"/>
  <c r="D27" i="90"/>
  <c r="D28" i="90"/>
  <c r="D29" i="90"/>
  <c r="D30" i="90"/>
  <c r="D6" i="90"/>
  <c r="Q5" i="90"/>
  <c r="C214" i="89"/>
  <c r="E214" i="89"/>
  <c r="C215" i="89"/>
  <c r="E215" i="89"/>
  <c r="C216" i="89"/>
  <c r="E216" i="89"/>
  <c r="C217" i="89"/>
  <c r="E217" i="89"/>
  <c r="C218" i="89"/>
  <c r="E218" i="89"/>
  <c r="C219" i="89"/>
  <c r="E219" i="89"/>
  <c r="C220" i="89"/>
  <c r="E220" i="89"/>
  <c r="C221" i="89"/>
  <c r="E221" i="89"/>
  <c r="C222" i="89"/>
  <c r="E222" i="89"/>
  <c r="C223" i="89"/>
  <c r="E223" i="89"/>
  <c r="C224" i="89"/>
  <c r="E224" i="89"/>
  <c r="C225" i="89"/>
  <c r="E225" i="89"/>
  <c r="C226" i="89"/>
  <c r="E226" i="89"/>
  <c r="C227" i="89"/>
  <c r="E227" i="89"/>
  <c r="C228" i="89"/>
  <c r="E228" i="89"/>
  <c r="C229" i="89"/>
  <c r="E229" i="89"/>
  <c r="C230" i="89"/>
  <c r="E230" i="89"/>
  <c r="C231" i="89"/>
  <c r="E231" i="89"/>
  <c r="C232" i="89"/>
  <c r="E232" i="89"/>
  <c r="C233" i="89"/>
  <c r="E233" i="89"/>
  <c r="C234" i="89"/>
  <c r="E234" i="89"/>
  <c r="C235" i="89"/>
  <c r="E235" i="89"/>
  <c r="C236" i="89"/>
  <c r="E236" i="89"/>
  <c r="C237" i="89"/>
  <c r="E237" i="89"/>
  <c r="C213" i="89"/>
  <c r="E213" i="89"/>
  <c r="B155" i="89"/>
  <c r="B185" i="89"/>
  <c r="C185" i="89"/>
  <c r="E185" i="89"/>
  <c r="B156" i="89"/>
  <c r="B186" i="89"/>
  <c r="C186" i="89"/>
  <c r="E186" i="89"/>
  <c r="B157" i="89"/>
  <c r="B187" i="89"/>
  <c r="C187" i="89"/>
  <c r="E187" i="89"/>
  <c r="B158" i="89"/>
  <c r="B188" i="89"/>
  <c r="C188" i="89"/>
  <c r="E188" i="89"/>
  <c r="B159" i="89"/>
  <c r="B189" i="89"/>
  <c r="C189" i="89"/>
  <c r="E189" i="89"/>
  <c r="B160" i="89"/>
  <c r="B190" i="89"/>
  <c r="C190" i="89"/>
  <c r="E190" i="89"/>
  <c r="B161" i="89"/>
  <c r="B191" i="89"/>
  <c r="C191" i="89"/>
  <c r="E191" i="89"/>
  <c r="B162" i="89"/>
  <c r="B192" i="89"/>
  <c r="C192" i="89"/>
  <c r="E192" i="89"/>
  <c r="B163" i="89"/>
  <c r="B193" i="89"/>
  <c r="C193" i="89"/>
  <c r="E193" i="89"/>
  <c r="B164" i="89"/>
  <c r="B194" i="89"/>
  <c r="C194" i="89"/>
  <c r="E194" i="89"/>
  <c r="B165" i="89"/>
  <c r="B195" i="89"/>
  <c r="C195" i="89"/>
  <c r="E195" i="89"/>
  <c r="B166" i="89"/>
  <c r="B196" i="89"/>
  <c r="C196" i="89"/>
  <c r="E196" i="89"/>
  <c r="B167" i="89"/>
  <c r="B197" i="89"/>
  <c r="C197" i="89"/>
  <c r="E197" i="89"/>
  <c r="B168" i="89"/>
  <c r="B198" i="89"/>
  <c r="C198" i="89"/>
  <c r="E198" i="89"/>
  <c r="B169" i="89"/>
  <c r="B199" i="89"/>
  <c r="C199" i="89"/>
  <c r="E199" i="89"/>
  <c r="B170" i="89"/>
  <c r="B200" i="89"/>
  <c r="C200" i="89"/>
  <c r="E200" i="89"/>
  <c r="B171" i="89"/>
  <c r="B201" i="89"/>
  <c r="C201" i="89"/>
  <c r="E201" i="89"/>
  <c r="B172" i="89"/>
  <c r="B202" i="89"/>
  <c r="C202" i="89"/>
  <c r="E202" i="89"/>
  <c r="B173" i="89"/>
  <c r="B203" i="89"/>
  <c r="C203" i="89"/>
  <c r="E203" i="89"/>
  <c r="B174" i="89"/>
  <c r="B204" i="89"/>
  <c r="C204" i="89"/>
  <c r="E204" i="89"/>
  <c r="B175" i="89"/>
  <c r="B205" i="89"/>
  <c r="C205" i="89"/>
  <c r="E205" i="89"/>
  <c r="B176" i="89"/>
  <c r="B206" i="89"/>
  <c r="C206" i="89"/>
  <c r="E206" i="89"/>
  <c r="B177" i="89"/>
  <c r="B207" i="89"/>
  <c r="C207" i="89"/>
  <c r="E207" i="89"/>
  <c r="B178" i="89"/>
  <c r="B208" i="89"/>
  <c r="C208" i="89"/>
  <c r="E208" i="89"/>
  <c r="B154" i="89"/>
  <c r="B184" i="89"/>
  <c r="C184" i="89"/>
  <c r="E184" i="89"/>
  <c r="D126" i="89"/>
  <c r="D127" i="89"/>
  <c r="D128" i="89"/>
  <c r="D129" i="89"/>
  <c r="D130" i="89"/>
  <c r="D131" i="89"/>
  <c r="D132" i="89"/>
  <c r="D133" i="89"/>
  <c r="D134" i="89"/>
  <c r="D135" i="89"/>
  <c r="D136" i="89"/>
  <c r="D137" i="89"/>
  <c r="D138" i="89"/>
  <c r="D139" i="89"/>
  <c r="D140" i="89"/>
  <c r="D141" i="89"/>
  <c r="D142" i="89"/>
  <c r="D143" i="89"/>
  <c r="D144" i="89"/>
  <c r="D145" i="89"/>
  <c r="D146" i="89"/>
  <c r="D147" i="89"/>
  <c r="D148" i="89"/>
  <c r="D149" i="89"/>
  <c r="D125" i="89"/>
  <c r="B97" i="89"/>
  <c r="D97" i="89"/>
  <c r="B98" i="89"/>
  <c r="D98" i="89"/>
  <c r="B99" i="89"/>
  <c r="D99" i="89"/>
  <c r="B100" i="89"/>
  <c r="D100" i="89"/>
  <c r="B101" i="89"/>
  <c r="D101" i="89"/>
  <c r="B102" i="89"/>
  <c r="D102" i="89"/>
  <c r="B103" i="89"/>
  <c r="D103" i="89"/>
  <c r="B104" i="89"/>
  <c r="D104" i="89"/>
  <c r="B105" i="89"/>
  <c r="D105" i="89"/>
  <c r="B106" i="89"/>
  <c r="D106" i="89"/>
  <c r="B107" i="89"/>
  <c r="D107" i="89"/>
  <c r="B108" i="89"/>
  <c r="D108" i="89"/>
  <c r="B109" i="89"/>
  <c r="D109" i="89"/>
  <c r="B110" i="89"/>
  <c r="D110" i="89"/>
  <c r="B111" i="89"/>
  <c r="D111" i="89"/>
  <c r="B112" i="89"/>
  <c r="D112" i="89"/>
  <c r="B113" i="89"/>
  <c r="D113" i="89"/>
  <c r="B114" i="89"/>
  <c r="D114" i="89"/>
  <c r="B115" i="89"/>
  <c r="D115" i="89"/>
  <c r="B116" i="89"/>
  <c r="D116" i="89"/>
  <c r="B117" i="89"/>
  <c r="D117" i="89"/>
  <c r="B118" i="89"/>
  <c r="D118" i="89"/>
  <c r="B119" i="89"/>
  <c r="D119" i="89"/>
  <c r="B120" i="89"/>
  <c r="D120" i="89"/>
  <c r="B96" i="89"/>
  <c r="D96" i="89"/>
  <c r="B67" i="89"/>
  <c r="D67" i="89"/>
  <c r="B68" i="89"/>
  <c r="D68" i="89"/>
  <c r="B69" i="89"/>
  <c r="D69" i="89"/>
  <c r="B70" i="89"/>
  <c r="D70" i="89"/>
  <c r="B71" i="89"/>
  <c r="D71" i="89"/>
  <c r="B72" i="89"/>
  <c r="D72" i="89"/>
  <c r="B73" i="89"/>
  <c r="D73" i="89"/>
  <c r="B74" i="89"/>
  <c r="D74" i="89"/>
  <c r="B75" i="89"/>
  <c r="D75" i="89"/>
  <c r="B76" i="89"/>
  <c r="D76" i="89"/>
  <c r="B77" i="89"/>
  <c r="D77" i="89"/>
  <c r="B78" i="89"/>
  <c r="D78" i="89"/>
  <c r="B79" i="89"/>
  <c r="D79" i="89"/>
  <c r="B80" i="89"/>
  <c r="D80" i="89"/>
  <c r="B81" i="89"/>
  <c r="D81" i="89"/>
  <c r="B82" i="89"/>
  <c r="D82" i="89"/>
  <c r="B83" i="89"/>
  <c r="D83" i="89"/>
  <c r="B84" i="89"/>
  <c r="D84" i="89"/>
  <c r="B85" i="89"/>
  <c r="D85" i="89"/>
  <c r="B86" i="89"/>
  <c r="D86" i="89"/>
  <c r="B87" i="89"/>
  <c r="D87" i="89"/>
  <c r="B88" i="89"/>
  <c r="D88" i="89"/>
  <c r="B89" i="89"/>
  <c r="D89" i="89"/>
  <c r="B90" i="89"/>
  <c r="D90" i="89"/>
  <c r="B66" i="89"/>
  <c r="D66" i="89"/>
  <c r="D37" i="89"/>
  <c r="D38" i="89"/>
  <c r="D39" i="89"/>
  <c r="D40" i="89"/>
  <c r="D41" i="89"/>
  <c r="D42" i="89"/>
  <c r="D43" i="89"/>
  <c r="D44" i="89"/>
  <c r="D45" i="89"/>
  <c r="D46" i="89"/>
  <c r="D47" i="89"/>
  <c r="D48" i="89"/>
  <c r="D49" i="89"/>
  <c r="D50" i="89"/>
  <c r="D51" i="89"/>
  <c r="D52" i="89"/>
  <c r="D53" i="89"/>
  <c r="D54" i="89"/>
  <c r="D55" i="89"/>
  <c r="D56" i="89"/>
  <c r="D57" i="89"/>
  <c r="D58" i="89"/>
  <c r="D59" i="89"/>
  <c r="D60" i="89"/>
  <c r="D8" i="89"/>
  <c r="D9" i="89"/>
  <c r="D10" i="89"/>
  <c r="D11" i="89"/>
  <c r="D12" i="89"/>
  <c r="D13" i="89"/>
  <c r="D14" i="89"/>
  <c r="D15" i="89"/>
  <c r="D16" i="89"/>
  <c r="D17" i="89"/>
  <c r="D18" i="89"/>
  <c r="D19" i="89"/>
  <c r="D20" i="89"/>
  <c r="D21" i="89"/>
  <c r="D22" i="89"/>
  <c r="D23" i="89"/>
  <c r="D24" i="89"/>
  <c r="D25" i="89"/>
  <c r="D26" i="89"/>
  <c r="D27" i="89"/>
  <c r="D28" i="89"/>
  <c r="D29" i="89"/>
  <c r="D30" i="89"/>
  <c r="D31" i="89"/>
  <c r="D7" i="89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" i="13"/>
  <c r="G58" i="92"/>
  <c r="G57" i="92"/>
  <c r="G56" i="92"/>
  <c r="G55" i="92"/>
  <c r="G54" i="92"/>
  <c r="G53" i="92"/>
  <c r="G52" i="92"/>
  <c r="G51" i="92"/>
  <c r="G50" i="92"/>
  <c r="G49" i="92"/>
  <c r="G48" i="92"/>
  <c r="G47" i="92"/>
  <c r="G46" i="92"/>
  <c r="G45" i="92"/>
  <c r="G44" i="92"/>
  <c r="G43" i="92"/>
  <c r="G42" i="92"/>
  <c r="G41" i="92"/>
  <c r="G40" i="92"/>
  <c r="G39" i="92"/>
  <c r="G38" i="92"/>
  <c r="G37" i="92"/>
  <c r="G36" i="92"/>
  <c r="G35" i="92"/>
  <c r="G34" i="92"/>
  <c r="F29" i="92"/>
  <c r="F28" i="92"/>
  <c r="F27" i="92"/>
  <c r="F26" i="92"/>
  <c r="F25" i="92"/>
  <c r="F24" i="92"/>
  <c r="F23" i="92"/>
  <c r="F22" i="92"/>
  <c r="F21" i="92"/>
  <c r="F20" i="92"/>
  <c r="F19" i="92"/>
  <c r="F18" i="92"/>
  <c r="F17" i="92"/>
  <c r="F16" i="92"/>
  <c r="F15" i="92"/>
  <c r="F14" i="92"/>
  <c r="F13" i="92"/>
  <c r="F12" i="92"/>
  <c r="F11" i="92"/>
  <c r="F10" i="92"/>
  <c r="F9" i="92"/>
  <c r="F8" i="92"/>
  <c r="F7" i="92"/>
  <c r="F6" i="92"/>
  <c r="F5" i="92"/>
  <c r="D178" i="89"/>
  <c r="D177" i="89"/>
  <c r="D176" i="89"/>
  <c r="D175" i="89"/>
  <c r="D174" i="89"/>
  <c r="D173" i="89"/>
  <c r="D172" i="89"/>
  <c r="D171" i="89"/>
  <c r="D170" i="89"/>
  <c r="D169" i="89"/>
  <c r="D168" i="89"/>
  <c r="D167" i="89"/>
  <c r="D166" i="89"/>
  <c r="D165" i="89"/>
  <c r="D164" i="89"/>
  <c r="D163" i="89"/>
  <c r="D162" i="89"/>
  <c r="D161" i="89"/>
  <c r="D160" i="89"/>
  <c r="D159" i="89"/>
  <c r="D158" i="89"/>
  <c r="D157" i="89"/>
  <c r="D156" i="89"/>
  <c r="D155" i="89"/>
  <c r="D154" i="89"/>
  <c r="D36" i="89"/>
  <c r="G35" i="85"/>
  <c r="G36" i="85"/>
  <c r="G38" i="85"/>
  <c r="G39" i="85"/>
  <c r="G40" i="85"/>
  <c r="G42" i="85"/>
  <c r="G43" i="85"/>
  <c r="G44" i="85"/>
  <c r="G46" i="85"/>
  <c r="G47" i="85"/>
  <c r="G48" i="85"/>
  <c r="G50" i="85"/>
  <c r="G51" i="85"/>
  <c r="G52" i="85"/>
  <c r="G54" i="85"/>
  <c r="G55" i="85"/>
  <c r="G56" i="85"/>
  <c r="G58" i="85"/>
  <c r="G34" i="85"/>
  <c r="G37" i="85"/>
  <c r="G41" i="85"/>
  <c r="G45" i="85"/>
  <c r="G49" i="85"/>
  <c r="G53" i="85"/>
  <c r="G57" i="85"/>
  <c r="F6" i="85"/>
  <c r="F7" i="85"/>
  <c r="F8" i="85"/>
  <c r="F9" i="85"/>
  <c r="F10" i="85"/>
  <c r="F11" i="85"/>
  <c r="F12" i="85"/>
  <c r="F13" i="85"/>
  <c r="F14" i="85"/>
  <c r="F15" i="85"/>
  <c r="F16" i="85"/>
  <c r="F17" i="85"/>
  <c r="F18" i="85"/>
  <c r="F19" i="85"/>
  <c r="F20" i="85"/>
  <c r="F21" i="85"/>
  <c r="F22" i="85"/>
  <c r="F23" i="85"/>
  <c r="F24" i="85"/>
  <c r="F25" i="85"/>
  <c r="F26" i="85"/>
  <c r="F27" i="85"/>
  <c r="F28" i="85"/>
  <c r="F29" i="85"/>
  <c r="F5" i="85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53" i="84"/>
  <c r="E54" i="84"/>
  <c r="E55" i="84"/>
  <c r="E56" i="84"/>
  <c r="E57" i="84"/>
  <c r="E58" i="84"/>
  <c r="E59" i="84"/>
  <c r="E60" i="84"/>
  <c r="E61" i="84"/>
  <c r="E37" i="84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6" i="84"/>
  <c r="B157" i="83"/>
  <c r="D157" i="83"/>
  <c r="B158" i="83"/>
  <c r="D158" i="83"/>
  <c r="B159" i="83"/>
  <c r="D159" i="83"/>
  <c r="B160" i="83"/>
  <c r="D160" i="83"/>
  <c r="B161" i="83"/>
  <c r="D161" i="83"/>
  <c r="B162" i="83"/>
  <c r="D162" i="83"/>
  <c r="B163" i="83"/>
  <c r="D163" i="83"/>
  <c r="B164" i="83"/>
  <c r="D164" i="83"/>
  <c r="B165" i="83"/>
  <c r="D165" i="83"/>
  <c r="B166" i="83"/>
  <c r="D166" i="83"/>
  <c r="B167" i="83"/>
  <c r="D167" i="83"/>
  <c r="B168" i="83"/>
  <c r="D168" i="83"/>
  <c r="B169" i="83"/>
  <c r="D169" i="83"/>
  <c r="B170" i="83"/>
  <c r="D170" i="83"/>
  <c r="B171" i="83"/>
  <c r="D171" i="83"/>
  <c r="B172" i="83"/>
  <c r="D172" i="83"/>
  <c r="B173" i="83"/>
  <c r="D173" i="83"/>
  <c r="B174" i="83"/>
  <c r="D174" i="83"/>
  <c r="B175" i="83"/>
  <c r="D175" i="83"/>
  <c r="B176" i="83"/>
  <c r="D176" i="83"/>
  <c r="B177" i="83"/>
  <c r="D177" i="83"/>
  <c r="B178" i="83"/>
  <c r="D178" i="83"/>
  <c r="B179" i="83"/>
  <c r="D179" i="83"/>
  <c r="B180" i="83"/>
  <c r="D180" i="83"/>
  <c r="B156" i="83"/>
  <c r="D156" i="83"/>
  <c r="D128" i="83"/>
  <c r="D129" i="83"/>
  <c r="D130" i="83"/>
  <c r="D131" i="83"/>
  <c r="D132" i="83"/>
  <c r="D133" i="83"/>
  <c r="D134" i="83"/>
  <c r="D135" i="83"/>
  <c r="D136" i="83"/>
  <c r="D137" i="83"/>
  <c r="D138" i="83"/>
  <c r="D139" i="83"/>
  <c r="D140" i="83"/>
  <c r="D141" i="83"/>
  <c r="D142" i="83"/>
  <c r="D143" i="83"/>
  <c r="D144" i="83"/>
  <c r="D145" i="83"/>
  <c r="D146" i="83"/>
  <c r="D147" i="83"/>
  <c r="D148" i="83"/>
  <c r="D149" i="83"/>
  <c r="D150" i="83"/>
  <c r="D151" i="83"/>
  <c r="D127" i="83"/>
  <c r="D98" i="83"/>
  <c r="D99" i="83"/>
  <c r="D100" i="83"/>
  <c r="D101" i="83"/>
  <c r="D102" i="83"/>
  <c r="D103" i="83"/>
  <c r="D104" i="83"/>
  <c r="D105" i="83"/>
  <c r="D106" i="83"/>
  <c r="D107" i="83"/>
  <c r="D108" i="83"/>
  <c r="D109" i="83"/>
  <c r="D110" i="83"/>
  <c r="D111" i="83"/>
  <c r="D112" i="83"/>
  <c r="D113" i="83"/>
  <c r="D114" i="83"/>
  <c r="D115" i="83"/>
  <c r="D116" i="83"/>
  <c r="D117" i="83"/>
  <c r="D118" i="83"/>
  <c r="D119" i="83"/>
  <c r="D120" i="83"/>
  <c r="D121" i="83"/>
  <c r="D97" i="83"/>
  <c r="B66" i="83"/>
  <c r="D66" i="83"/>
  <c r="B67" i="83"/>
  <c r="D67" i="83"/>
  <c r="B68" i="83"/>
  <c r="D68" i="83"/>
  <c r="B69" i="83"/>
  <c r="D69" i="83"/>
  <c r="B70" i="83"/>
  <c r="D70" i="83"/>
  <c r="B71" i="83"/>
  <c r="D71" i="83"/>
  <c r="B72" i="83"/>
  <c r="D72" i="83"/>
  <c r="B73" i="83"/>
  <c r="D73" i="83"/>
  <c r="B74" i="83"/>
  <c r="D74" i="83"/>
  <c r="B75" i="83"/>
  <c r="D75" i="83"/>
  <c r="B76" i="83"/>
  <c r="D76" i="83"/>
  <c r="B77" i="83"/>
  <c r="D77" i="83"/>
  <c r="B78" i="83"/>
  <c r="D78" i="83"/>
  <c r="B79" i="83"/>
  <c r="D79" i="83"/>
  <c r="B80" i="83"/>
  <c r="D80" i="83"/>
  <c r="B81" i="83"/>
  <c r="D81" i="83"/>
  <c r="B82" i="83"/>
  <c r="D82" i="83"/>
  <c r="B83" i="83"/>
  <c r="D83" i="83"/>
  <c r="B84" i="83"/>
  <c r="D84" i="83"/>
  <c r="B85" i="83"/>
  <c r="D85" i="83"/>
  <c r="B86" i="83"/>
  <c r="D86" i="83"/>
  <c r="B87" i="83"/>
  <c r="D87" i="83"/>
  <c r="B88" i="83"/>
  <c r="D88" i="83"/>
  <c r="B89" i="83"/>
  <c r="D89" i="83"/>
  <c r="B65" i="83"/>
  <c r="D65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50" i="83"/>
  <c r="D51" i="83"/>
  <c r="D52" i="83"/>
  <c r="D53" i="83"/>
  <c r="D54" i="83"/>
  <c r="D55" i="83"/>
  <c r="D56" i="83"/>
  <c r="D57" i="83"/>
  <c r="D58" i="83"/>
  <c r="D59" i="83"/>
  <c r="D60" i="83"/>
  <c r="D36" i="83"/>
  <c r="D154" i="82"/>
  <c r="D155" i="82"/>
  <c r="D156" i="82"/>
  <c r="D157" i="82"/>
  <c r="D158" i="82"/>
  <c r="D159" i="82"/>
  <c r="D160" i="82"/>
  <c r="D161" i="82"/>
  <c r="D162" i="82"/>
  <c r="D163" i="82"/>
  <c r="D164" i="82"/>
  <c r="D165" i="82"/>
  <c r="D166" i="82"/>
  <c r="D167" i="82"/>
  <c r="D168" i="82"/>
  <c r="D169" i="82"/>
  <c r="D170" i="82"/>
  <c r="D171" i="82"/>
  <c r="D172" i="82"/>
  <c r="D173" i="82"/>
  <c r="D174" i="82"/>
  <c r="D175" i="82"/>
  <c r="D176" i="82"/>
  <c r="D177" i="82"/>
  <c r="D178" i="82"/>
  <c r="B125" i="82"/>
  <c r="D125" i="82"/>
  <c r="B126" i="82"/>
  <c r="D126" i="82"/>
  <c r="B127" i="82"/>
  <c r="D127" i="82"/>
  <c r="B128" i="82"/>
  <c r="D128" i="82"/>
  <c r="B129" i="82"/>
  <c r="D129" i="82"/>
  <c r="B130" i="82"/>
  <c r="D130" i="82"/>
  <c r="B131" i="82"/>
  <c r="D131" i="82"/>
  <c r="B132" i="82"/>
  <c r="D132" i="82"/>
  <c r="B133" i="82"/>
  <c r="D133" i="82"/>
  <c r="B134" i="82"/>
  <c r="D134" i="82"/>
  <c r="B135" i="82"/>
  <c r="D135" i="82"/>
  <c r="B136" i="82"/>
  <c r="D136" i="82"/>
  <c r="B137" i="82"/>
  <c r="D137" i="82"/>
  <c r="B138" i="82"/>
  <c r="D138" i="82"/>
  <c r="B139" i="82"/>
  <c r="D139" i="82"/>
  <c r="B140" i="82"/>
  <c r="D140" i="82"/>
  <c r="B141" i="82"/>
  <c r="D141" i="82"/>
  <c r="B142" i="82"/>
  <c r="D142" i="82"/>
  <c r="B143" i="82"/>
  <c r="D143" i="82"/>
  <c r="B144" i="82"/>
  <c r="D144" i="82"/>
  <c r="B145" i="82"/>
  <c r="D145" i="82"/>
  <c r="B146" i="82"/>
  <c r="D146" i="82"/>
  <c r="B147" i="82"/>
  <c r="D147" i="82"/>
  <c r="B148" i="82"/>
  <c r="D148" i="82"/>
  <c r="B149" i="82"/>
  <c r="D149" i="82"/>
  <c r="D66" i="82"/>
  <c r="D67" i="82"/>
  <c r="D68" i="82"/>
  <c r="D69" i="82"/>
  <c r="D70" i="82"/>
  <c r="D71" i="82"/>
  <c r="D72" i="82"/>
  <c r="D73" i="82"/>
  <c r="D74" i="82"/>
  <c r="D75" i="82"/>
  <c r="D76" i="82"/>
  <c r="D77" i="82"/>
  <c r="D78" i="82"/>
  <c r="D79" i="82"/>
  <c r="D80" i="82"/>
  <c r="D81" i="82"/>
  <c r="D82" i="82"/>
  <c r="D83" i="82"/>
  <c r="D84" i="82"/>
  <c r="D85" i="82"/>
  <c r="D86" i="82"/>
  <c r="D87" i="82"/>
  <c r="D88" i="82"/>
  <c r="D89" i="82"/>
  <c r="D90" i="82"/>
  <c r="D96" i="82"/>
  <c r="D97" i="82"/>
  <c r="D98" i="82"/>
  <c r="D99" i="82"/>
  <c r="D100" i="82"/>
  <c r="D101" i="82"/>
  <c r="D102" i="82"/>
  <c r="D103" i="82"/>
  <c r="D104" i="82"/>
  <c r="D105" i="82"/>
  <c r="D106" i="82"/>
  <c r="D107" i="82"/>
  <c r="D108" i="82"/>
  <c r="D109" i="82"/>
  <c r="D110" i="82"/>
  <c r="D111" i="82"/>
  <c r="D112" i="82"/>
  <c r="D113" i="82"/>
  <c r="D114" i="82"/>
  <c r="D115" i="82"/>
  <c r="D116" i="82"/>
  <c r="D117" i="82"/>
  <c r="D118" i="82"/>
  <c r="D119" i="82"/>
  <c r="D120" i="82"/>
  <c r="D37" i="82"/>
  <c r="D38" i="82"/>
  <c r="D39" i="82"/>
  <c r="D40" i="82"/>
  <c r="D41" i="82"/>
  <c r="D42" i="82"/>
  <c r="D43" i="82"/>
  <c r="D44" i="82"/>
  <c r="D45" i="82"/>
  <c r="D46" i="82"/>
  <c r="D47" i="82"/>
  <c r="D48" i="82"/>
  <c r="D49" i="82"/>
  <c r="D50" i="82"/>
  <c r="D51" i="82"/>
  <c r="D52" i="82"/>
  <c r="D53" i="82"/>
  <c r="D54" i="82"/>
  <c r="D55" i="82"/>
  <c r="D56" i="82"/>
  <c r="D57" i="82"/>
  <c r="D58" i="82"/>
  <c r="D59" i="82"/>
  <c r="D60" i="82"/>
  <c r="D36" i="82"/>
  <c r="D8" i="82"/>
  <c r="D9" i="82"/>
  <c r="D10" i="82"/>
  <c r="D11" i="82"/>
  <c r="D12" i="82"/>
  <c r="D13" i="82"/>
  <c r="D14" i="82"/>
  <c r="D15" i="82"/>
  <c r="D16" i="82"/>
  <c r="D17" i="82"/>
  <c r="D18" i="82"/>
  <c r="D19" i="82"/>
  <c r="D20" i="82"/>
  <c r="D21" i="82"/>
  <c r="D22" i="82"/>
  <c r="D23" i="82"/>
  <c r="D24" i="82"/>
  <c r="D25" i="82"/>
  <c r="D26" i="82"/>
  <c r="D27" i="82"/>
  <c r="D28" i="82"/>
  <c r="D29" i="82"/>
  <c r="D30" i="82"/>
  <c r="D31" i="82"/>
  <c r="D7" i="82"/>
  <c r="D7" i="83"/>
  <c r="D8" i="83"/>
  <c r="D9" i="83"/>
  <c r="D10" i="83"/>
  <c r="D11" i="83"/>
  <c r="D12" i="83"/>
  <c r="D13" i="83"/>
  <c r="D14" i="83"/>
  <c r="D15" i="83"/>
  <c r="D16" i="83"/>
  <c r="D17" i="83"/>
  <c r="D18" i="83"/>
  <c r="D19" i="83"/>
  <c r="D20" i="83"/>
  <c r="D21" i="83"/>
  <c r="D22" i="83"/>
  <c r="D23" i="83"/>
  <c r="D24" i="83"/>
  <c r="D25" i="83"/>
  <c r="D26" i="83"/>
  <c r="D27" i="83"/>
  <c r="D28" i="83"/>
  <c r="D29" i="83"/>
  <c r="D30" i="83"/>
  <c r="D6" i="83"/>
  <c r="E87" i="85"/>
  <c r="E86" i="85"/>
  <c r="E85" i="85"/>
  <c r="E84" i="85"/>
  <c r="E83" i="85"/>
  <c r="E82" i="85"/>
  <c r="E81" i="85"/>
  <c r="E80" i="85"/>
  <c r="E79" i="85"/>
  <c r="E78" i="85"/>
  <c r="E77" i="85"/>
  <c r="E76" i="85"/>
  <c r="E75" i="85"/>
  <c r="E74" i="85"/>
  <c r="E73" i="85"/>
  <c r="E72" i="85"/>
  <c r="E71" i="85"/>
  <c r="E70" i="85"/>
  <c r="E69" i="85"/>
  <c r="E68" i="85"/>
  <c r="E67" i="85"/>
  <c r="E66" i="85"/>
  <c r="E65" i="85"/>
  <c r="E64" i="85"/>
  <c r="E63" i="85"/>
  <c r="C92" i="84"/>
  <c r="D92" i="84"/>
  <c r="E92" i="84"/>
  <c r="C91" i="84"/>
  <c r="D91" i="84"/>
  <c r="E91" i="84"/>
  <c r="C90" i="84"/>
  <c r="D90" i="84"/>
  <c r="E90" i="84"/>
  <c r="C89" i="84"/>
  <c r="D89" i="84"/>
  <c r="E89" i="84"/>
  <c r="C88" i="84"/>
  <c r="D88" i="84"/>
  <c r="E88" i="84"/>
  <c r="C87" i="84"/>
  <c r="D87" i="84"/>
  <c r="E87" i="84"/>
  <c r="C86" i="84"/>
  <c r="D86" i="84"/>
  <c r="E86" i="84"/>
  <c r="C85" i="84"/>
  <c r="D85" i="84"/>
  <c r="E85" i="84"/>
  <c r="C84" i="84"/>
  <c r="D84" i="84"/>
  <c r="E84" i="84"/>
  <c r="C83" i="84"/>
  <c r="D83" i="84"/>
  <c r="E83" i="84"/>
  <c r="C82" i="84"/>
  <c r="D82" i="84"/>
  <c r="E82" i="84"/>
  <c r="C81" i="84"/>
  <c r="D81" i="84"/>
  <c r="E81" i="84"/>
  <c r="C80" i="84"/>
  <c r="D80" i="84"/>
  <c r="E80" i="84"/>
  <c r="C79" i="84"/>
  <c r="D79" i="84"/>
  <c r="E79" i="84"/>
  <c r="C78" i="84"/>
  <c r="D78" i="84"/>
  <c r="E78" i="84"/>
  <c r="C77" i="84"/>
  <c r="D77" i="84"/>
  <c r="E77" i="84"/>
  <c r="C76" i="84"/>
  <c r="D76" i="84"/>
  <c r="E76" i="84"/>
  <c r="C75" i="84"/>
  <c r="D75" i="84"/>
  <c r="E75" i="84"/>
  <c r="C74" i="84"/>
  <c r="D74" i="84"/>
  <c r="E74" i="84"/>
  <c r="C73" i="84"/>
  <c r="D73" i="84"/>
  <c r="E73" i="84"/>
  <c r="C72" i="84"/>
  <c r="D72" i="84"/>
  <c r="E72" i="84"/>
  <c r="C71" i="84"/>
  <c r="D71" i="84"/>
  <c r="E71" i="84"/>
  <c r="C70" i="84"/>
  <c r="D70" i="84"/>
  <c r="E70" i="84"/>
  <c r="C69" i="84"/>
  <c r="D69" i="84"/>
  <c r="E69" i="84"/>
  <c r="C68" i="84"/>
  <c r="D68" i="84"/>
  <c r="E68" i="84"/>
  <c r="E237" i="82"/>
  <c r="E236" i="82"/>
  <c r="E235" i="82"/>
  <c r="E234" i="82"/>
  <c r="E233" i="82"/>
  <c r="E232" i="82"/>
  <c r="E231" i="82"/>
  <c r="E230" i="82"/>
  <c r="E229" i="82"/>
  <c r="E228" i="82"/>
  <c r="E227" i="82"/>
  <c r="E226" i="82"/>
  <c r="E225" i="82"/>
  <c r="E224" i="82"/>
  <c r="E223" i="82"/>
  <c r="E222" i="82"/>
  <c r="E221" i="82"/>
  <c r="E220" i="82"/>
  <c r="E219" i="82"/>
  <c r="E218" i="82"/>
  <c r="E217" i="82"/>
  <c r="E216" i="82"/>
  <c r="E215" i="82"/>
  <c r="E214" i="82"/>
  <c r="E213" i="82"/>
  <c r="C208" i="82"/>
  <c r="E208" i="82"/>
  <c r="C207" i="82"/>
  <c r="E207" i="82"/>
  <c r="C206" i="82"/>
  <c r="E206" i="82"/>
  <c r="C205" i="82"/>
  <c r="E205" i="82"/>
  <c r="C204" i="82"/>
  <c r="E204" i="82"/>
  <c r="C203" i="82"/>
  <c r="E203" i="82"/>
  <c r="C202" i="82"/>
  <c r="E202" i="82"/>
  <c r="C201" i="82"/>
  <c r="E201" i="82"/>
  <c r="C200" i="82"/>
  <c r="E200" i="82"/>
  <c r="C199" i="82"/>
  <c r="E199" i="82"/>
  <c r="C198" i="82"/>
  <c r="E198" i="82"/>
  <c r="C197" i="82"/>
  <c r="E197" i="82"/>
  <c r="C196" i="82"/>
  <c r="E196" i="82"/>
  <c r="C195" i="82"/>
  <c r="E195" i="82"/>
  <c r="C194" i="82"/>
  <c r="E194" i="82"/>
  <c r="C193" i="82"/>
  <c r="E193" i="82"/>
  <c r="C192" i="82"/>
  <c r="E192" i="82"/>
  <c r="C191" i="82"/>
  <c r="E191" i="82"/>
  <c r="C190" i="82"/>
  <c r="E190" i="82"/>
  <c r="C189" i="82"/>
  <c r="E189" i="82"/>
  <c r="C188" i="82"/>
  <c r="E188" i="82"/>
  <c r="C187" i="82"/>
  <c r="E187" i="82"/>
  <c r="C186" i="82"/>
  <c r="E186" i="82"/>
  <c r="C185" i="82"/>
  <c r="E185" i="82"/>
  <c r="C184" i="82"/>
  <c r="E184" i="82"/>
  <c r="D125" i="105"/>
  <c r="D133" i="105"/>
  <c r="D141" i="105"/>
  <c r="D149" i="105"/>
  <c r="D159" i="105"/>
  <c r="D166" i="105"/>
  <c r="D174" i="105"/>
  <c r="D127" i="105"/>
  <c r="D131" i="105"/>
  <c r="D135" i="105"/>
  <c r="D139" i="105"/>
  <c r="D143" i="105"/>
  <c r="D147" i="105"/>
  <c r="B156" i="105"/>
  <c r="B186" i="105"/>
  <c r="C186" i="105"/>
  <c r="E186" i="105"/>
  <c r="B160" i="105"/>
  <c r="B190" i="105"/>
  <c r="C190" i="105"/>
  <c r="E190" i="105"/>
  <c r="B164" i="105"/>
  <c r="B168" i="105"/>
  <c r="B172" i="105"/>
  <c r="B176" i="105"/>
  <c r="D126" i="105"/>
  <c r="D128" i="105"/>
  <c r="D130" i="105"/>
  <c r="D132" i="105"/>
  <c r="D134" i="105"/>
  <c r="D136" i="105"/>
  <c r="D138" i="105"/>
  <c r="D140" i="105"/>
  <c r="D142" i="105"/>
  <c r="D144" i="105"/>
  <c r="D146" i="105"/>
  <c r="D148" i="105"/>
  <c r="D156" i="105"/>
  <c r="D160" i="105"/>
  <c r="B157" i="105"/>
  <c r="B161" i="105"/>
  <c r="B163" i="105"/>
  <c r="B165" i="105"/>
  <c r="B167" i="105"/>
  <c r="B169" i="105"/>
  <c r="B171" i="105"/>
  <c r="B173" i="105"/>
  <c r="B175" i="105"/>
  <c r="B177" i="105"/>
  <c r="B35" i="101"/>
  <c r="B37" i="101"/>
  <c r="B39" i="101"/>
  <c r="B41" i="101"/>
  <c r="B43" i="101"/>
  <c r="B45" i="101"/>
  <c r="B47" i="101"/>
  <c r="B49" i="101"/>
  <c r="B51" i="101"/>
  <c r="B53" i="101"/>
  <c r="B55" i="101"/>
  <c r="B57" i="101"/>
  <c r="E30" i="102"/>
  <c r="B58" i="101"/>
  <c r="E28" i="102"/>
  <c r="B56" i="101"/>
  <c r="E26" i="102"/>
  <c r="B54" i="101"/>
  <c r="E24" i="102"/>
  <c r="B52" i="101"/>
  <c r="E22" i="102"/>
  <c r="B50" i="101"/>
  <c r="E20" i="102"/>
  <c r="B48" i="101"/>
  <c r="E18" i="102"/>
  <c r="B46" i="101"/>
  <c r="E16" i="102"/>
  <c r="B44" i="101"/>
  <c r="E14" i="102"/>
  <c r="B42" i="101"/>
  <c r="E12" i="102"/>
  <c r="B40" i="101"/>
  <c r="E10" i="102"/>
  <c r="B38" i="101"/>
  <c r="E8" i="102"/>
  <c r="B36" i="101"/>
  <c r="E6" i="102"/>
  <c r="B34" i="101"/>
  <c r="B162" i="106"/>
  <c r="D162" i="106"/>
  <c r="D71" i="106"/>
  <c r="B164" i="106"/>
  <c r="D164" i="106"/>
  <c r="D73" i="106"/>
  <c r="B166" i="106"/>
  <c r="D166" i="106"/>
  <c r="D75" i="106"/>
  <c r="B168" i="106"/>
  <c r="D168" i="106"/>
  <c r="D77" i="106"/>
  <c r="B170" i="106"/>
  <c r="D170" i="106"/>
  <c r="D79" i="106"/>
  <c r="B172" i="106"/>
  <c r="D172" i="106"/>
  <c r="D81" i="106"/>
  <c r="B174" i="106"/>
  <c r="D174" i="106"/>
  <c r="D83" i="106"/>
  <c r="B176" i="106"/>
  <c r="D176" i="106"/>
  <c r="D85" i="106"/>
  <c r="B178" i="106"/>
  <c r="D178" i="106"/>
  <c r="D87" i="106"/>
  <c r="B180" i="106"/>
  <c r="D180" i="106"/>
  <c r="D89" i="106"/>
  <c r="B206" i="105"/>
  <c r="C206" i="105"/>
  <c r="E206" i="105"/>
  <c r="D176" i="105"/>
  <c r="B198" i="105"/>
  <c r="C198" i="105"/>
  <c r="E198" i="105"/>
  <c r="D168" i="105"/>
  <c r="B202" i="105"/>
  <c r="C202" i="105"/>
  <c r="E202" i="105"/>
  <c r="D172" i="105"/>
  <c r="B194" i="105"/>
  <c r="C194" i="105"/>
  <c r="E194" i="105"/>
  <c r="D164" i="105"/>
  <c r="B207" i="105"/>
  <c r="C207" i="105"/>
  <c r="E207" i="105"/>
  <c r="D177" i="105"/>
  <c r="B203" i="105"/>
  <c r="C203" i="105"/>
  <c r="E203" i="105"/>
  <c r="D173" i="105"/>
  <c r="B199" i="105"/>
  <c r="C199" i="105"/>
  <c r="E199" i="105"/>
  <c r="D169" i="105"/>
  <c r="B195" i="105"/>
  <c r="C195" i="105"/>
  <c r="E195" i="105"/>
  <c r="D165" i="105"/>
  <c r="B191" i="105"/>
  <c r="C191" i="105"/>
  <c r="E191" i="105"/>
  <c r="D161" i="105"/>
  <c r="B205" i="105"/>
  <c r="C205" i="105"/>
  <c r="E205" i="105"/>
  <c r="D175" i="105"/>
  <c r="B201" i="105"/>
  <c r="C201" i="105"/>
  <c r="E201" i="105"/>
  <c r="D171" i="105"/>
  <c r="B197" i="105"/>
  <c r="C197" i="105"/>
  <c r="E197" i="105"/>
  <c r="D167" i="105"/>
  <c r="B193" i="105"/>
  <c r="C193" i="105"/>
  <c r="E193" i="105"/>
  <c r="D163" i="105"/>
  <c r="B187" i="105"/>
  <c r="C187" i="105"/>
  <c r="E187" i="105"/>
  <c r="D157" i="105"/>
  <c r="G34" i="101"/>
  <c r="E63" i="101"/>
  <c r="G36" i="101"/>
  <c r="E65" i="101"/>
  <c r="G38" i="101"/>
  <c r="E67" i="101"/>
  <c r="G40" i="101"/>
  <c r="E69" i="101"/>
  <c r="G42" i="101"/>
  <c r="E71" i="101"/>
  <c r="G44" i="101"/>
  <c r="E73" i="101"/>
  <c r="G46" i="101"/>
  <c r="E75" i="101"/>
  <c r="G48" i="101"/>
  <c r="E77" i="101"/>
  <c r="G50" i="101"/>
  <c r="G52" i="101"/>
  <c r="E81" i="101"/>
  <c r="G54" i="101"/>
  <c r="E83" i="101"/>
  <c r="G56" i="101"/>
  <c r="E85" i="101"/>
  <c r="G58" i="101"/>
  <c r="E87" i="101"/>
  <c r="G57" i="101"/>
  <c r="G53" i="101"/>
  <c r="G49" i="101"/>
  <c r="E74" i="101"/>
  <c r="G45" i="101"/>
  <c r="G41" i="101"/>
  <c r="E66" i="101"/>
  <c r="G37" i="101"/>
  <c r="E84" i="101"/>
  <c r="G55" i="101"/>
  <c r="G51" i="101"/>
  <c r="E76" i="101"/>
  <c r="G47" i="101"/>
  <c r="E72" i="101"/>
  <c r="G43" i="101"/>
  <c r="E68" i="101"/>
  <c r="G39" i="101"/>
  <c r="E64" i="101"/>
  <c r="G35" i="101"/>
</calcChain>
</file>

<file path=xl/sharedStrings.xml><?xml version="1.0" encoding="utf-8"?>
<sst xmlns="http://schemas.openxmlformats.org/spreadsheetml/2006/main" count="2159" uniqueCount="161">
  <si>
    <t>Year</t>
  </si>
  <si>
    <t>USA</t>
  </si>
  <si>
    <t>Ventajas Comparativas Reveladas</t>
  </si>
  <si>
    <t>Año</t>
  </si>
  <si>
    <t>Porcentaje de 
Exportaciones del PIB a USA</t>
  </si>
  <si>
    <t>Total exportaciones a USA/PIB Colombia</t>
  </si>
  <si>
    <t>Porcentaje de 
Exportaciones del PIB a Colombia</t>
  </si>
  <si>
    <t>Pib USA
 (US$ Billones)</t>
  </si>
  <si>
    <t>Total exportaciones
 a Colombia (US$ millones)</t>
  </si>
  <si>
    <t>Pib Colombia a pesos corrientes
 (US$ miles de millones)</t>
  </si>
  <si>
    <t>=</t>
  </si>
  <si>
    <t>Apertura media por exportaciones</t>
  </si>
  <si>
    <t>INDICADORES DE APERTURA</t>
  </si>
  <si>
    <t>Total exportaciones
 a USA (US$ millones)</t>
  </si>
  <si>
    <t>Total exportaciones
 Mundo (US$ trillones)</t>
  </si>
  <si>
    <t>Apertura media por importaciones</t>
  </si>
  <si>
    <t>Total importaciones
 de USA (US$ millones)</t>
  </si>
  <si>
    <t>Apertura medida por exportaciones</t>
  </si>
  <si>
    <t>Apertura medida por importaciones</t>
  </si>
  <si>
    <t>Total Balanza Comercial de Colombia (US$ millones)</t>
  </si>
  <si>
    <t>Total exportaciones del grupo
 a USA (US$ millones)</t>
  </si>
  <si>
    <t>Indices de Balassa</t>
  </si>
  <si>
    <t>Total exportaciones de Colombia hacia el mundo
  (US$ millones FOB)</t>
  </si>
  <si>
    <t>Indice de Balassa</t>
  </si>
  <si>
    <t>Interpretación</t>
  </si>
  <si>
    <t>Indices de Grubel Lloyd</t>
  </si>
  <si>
    <t>IGLL</t>
  </si>
  <si>
    <t>Total Importaciones Colombia (US$millones CIF)</t>
  </si>
  <si>
    <t>VCR</t>
  </si>
  <si>
    <t>Balanza Comercial Colombia 
(Precio CIF, US$ millones)</t>
  </si>
  <si>
    <t>INDICADORES PER CÁPITA</t>
  </si>
  <si>
    <t>Exportación por Habitante COL</t>
  </si>
  <si>
    <t>Importación por Habitante COL</t>
  </si>
  <si>
    <t>Total Importaciones de Colombia (US$ millones)</t>
  </si>
  <si>
    <t>Exportación por Habitante USA</t>
  </si>
  <si>
    <t>Población USA</t>
  </si>
  <si>
    <t>Balanza Comercial</t>
  </si>
  <si>
    <t>Exportaciones - Importaciones</t>
  </si>
  <si>
    <t>Exportaciones 
por habitante (US$ dólares)</t>
  </si>
  <si>
    <t xml:space="preserve">Apertura media por importaciones </t>
  </si>
  <si>
    <t>Porcentaje de 
Importaciones del PIB a Colombia</t>
  </si>
  <si>
    <t>Total importaciones
 a Colombia (US$ millones)</t>
  </si>
  <si>
    <t>Total exportaciones a Colombia/PIB USA</t>
  </si>
  <si>
    <t>Porcentaje de 
Importaciones del PIB en USA</t>
  </si>
  <si>
    <t>Total importaciones de USA/PIB USA</t>
  </si>
  <si>
    <t xml:space="preserve">Total importaciones de Colombia/PIB Colombia </t>
  </si>
  <si>
    <t>Apertura media por exportaciones de Colombia</t>
  </si>
  <si>
    <t>Apertura media por Importaciones en Colombia</t>
  </si>
  <si>
    <t>Apertura media por exportaciones de USA</t>
  </si>
  <si>
    <t>Apertura media por importaciones a USA</t>
  </si>
  <si>
    <t>Apertura media por intercambio comercial de Colombia</t>
  </si>
  <si>
    <t>Apertura media por intercambio comercial</t>
  </si>
  <si>
    <t>Total intercambio absoluto en Colombia/PIB Colombia</t>
  </si>
  <si>
    <t>Balanza Comercial Absoluta Colombia 
(Precio CIF, US$ millones)</t>
  </si>
  <si>
    <t>Porcentaje de 
Intercambio Comercial del PIB Colombia</t>
  </si>
  <si>
    <t>Porcentaje de 
Intercambio Comercial del PIB USA</t>
  </si>
  <si>
    <t>Balanza Comercial Absoluta USA
(Precio CIF, US$ millones)</t>
  </si>
  <si>
    <t>Total intercambio absoluto en USA/PIB USA</t>
  </si>
  <si>
    <t>Apertura media por intercambio comercial de USA</t>
  </si>
  <si>
    <t>Balanza Comercial Absoluta Colombia 
(Precio CIF, US$ millones)/2</t>
  </si>
  <si>
    <t>Balanza Comercial Absoluta USA
(Precio CIF, US$ millones)/2</t>
  </si>
  <si>
    <t>Apertura media por el promedio intercambio comercial de Colombia</t>
  </si>
  <si>
    <t>Apertura media por el promedio intercambio comercial de USA</t>
  </si>
  <si>
    <t>Total intercambio absoluto en USA/USA Colombia</t>
  </si>
  <si>
    <t>Intercambio Comercial  por Habitante COL</t>
  </si>
  <si>
    <t>Total Intercambio de Colombia (US$ millones)</t>
  </si>
  <si>
    <t>Intercambio Comercial  por Habitante usa</t>
  </si>
  <si>
    <t>Total Balanza de USA (US$ millones)</t>
  </si>
  <si>
    <t>Población Colombia</t>
  </si>
  <si>
    <t>Exportaciones por habitante</t>
  </si>
  <si>
    <t>Total exportaciones a USA/Población Colombia</t>
  </si>
  <si>
    <t>Importaciones por habitante</t>
  </si>
  <si>
    <t>Total importaciones a Colombia/Población Colombia</t>
  </si>
  <si>
    <t>Importaciones por Habitante USA</t>
  </si>
  <si>
    <t>Total exportaciones a Colombia /Población USA</t>
  </si>
  <si>
    <t>Total importaciones de USA/Población USA</t>
  </si>
  <si>
    <t>Total intercambio comercial de Colombia/Población Colombia</t>
  </si>
  <si>
    <t>Intercambio comercial por habitante</t>
  </si>
  <si>
    <t>Total intercambio comercial de USA/Población USA</t>
  </si>
  <si>
    <t>Exportaciones a USA/ Exportaciones mundiales</t>
  </si>
  <si>
    <t>Importaciones a Colombia/ Exportaciones mundiales</t>
  </si>
  <si>
    <t>Porcentaje de 
importaciones del PIB de USA</t>
  </si>
  <si>
    <t>Porcentaje de 
Intercambio Comercial Colombia</t>
  </si>
  <si>
    <t>Total Intercambio Comercial de Colombia (US$ millones)</t>
  </si>
  <si>
    <t>Apertura media por intercambio Comercial en Colombia</t>
  </si>
  <si>
    <t>Apertura medida por intercambio comercial</t>
  </si>
  <si>
    <t>Intercambio de Colombia/ Exportaciones mundiales + Importaciones mundiales</t>
  </si>
  <si>
    <t>Total exportaciones + importaciones
 Mundo (US$ trillones)</t>
  </si>
  <si>
    <t>Fuentes: Elaboración propia en base a Naciones Unidas, Banco Mundial, Census Bureau</t>
  </si>
  <si>
    <t>Fuente: Elaboración propia en base a Banco Mundial, DNP,CIA.</t>
  </si>
  <si>
    <t>Fuente: Elaboración propia en base a Naciones Unidas.</t>
  </si>
  <si>
    <t>.Fuentes: Elaboración propia en base a Naciones Unidas, Banco Mundial, DNP</t>
  </si>
  <si>
    <t>Fuentes: Elaboración propia en base a Naciones Unidas, Banco Mundial.</t>
  </si>
  <si>
    <t>Fuentes: Elaboración propia en base a Naciones Unidas, Banco Mundial, DANE.</t>
  </si>
  <si>
    <t>.Fuentes: Elaboración propia en base a Naciones Unidas,Banco Mundial.</t>
  </si>
  <si>
    <t>Fuentes: Elaboración propia en base a Naciones Unidas,Banco Mundial.</t>
  </si>
  <si>
    <t>Indice de Ventajas Comparativas Reveladas=</t>
  </si>
  <si>
    <t>Exportaciones de Colombia a USA- Importaciones de Colombia a USA</t>
  </si>
  <si>
    <t>Exportaciones del producto k realizadas por el país i hacia el país j</t>
  </si>
  <si>
    <t xml:space="preserve">Exportaciones totales del país i al país j </t>
  </si>
  <si>
    <t>Exportaciones del producto k realizadas por el país i hacia el mundo (w)</t>
  </si>
  <si>
    <t xml:space="preserve"> Exportaciones totales del país i al mundo (w)</t>
  </si>
  <si>
    <t>Indice de Grubel Lloyd</t>
  </si>
  <si>
    <t>ECONOMIA</t>
  </si>
  <si>
    <t>SOCIO</t>
  </si>
  <si>
    <t>MERCANCIA</t>
  </si>
  <si>
    <t>COLOMBIA</t>
  </si>
  <si>
    <r>
      <rPr>
        <b/>
        <u/>
        <sz val="11"/>
        <color theme="1"/>
        <rFont val="Calibri"/>
        <family val="2"/>
        <scheme val="minor"/>
      </rPr>
      <t xml:space="preserve">00 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animales vivos</t>
    </r>
  </si>
  <si>
    <r>
      <rPr>
        <b/>
        <u/>
        <sz val="11"/>
        <color theme="1"/>
        <rFont val="Calibri"/>
        <family val="2"/>
        <scheme val="minor"/>
      </rPr>
      <t>01</t>
    </r>
    <r>
      <rPr>
        <sz val="11"/>
        <color theme="1"/>
        <rFont val="Calibri"/>
        <family val="2"/>
        <scheme val="minor"/>
      </rPr>
      <t xml:space="preserve"> preparaciones de carne y carne</t>
    </r>
  </si>
  <si>
    <r>
      <rPr>
        <b/>
        <u/>
        <sz val="11"/>
        <color theme="1"/>
        <rFont val="Calibri"/>
        <family val="2"/>
        <scheme val="minor"/>
      </rPr>
      <t xml:space="preserve">02 </t>
    </r>
    <r>
      <rPr>
        <sz val="11"/>
        <color theme="1"/>
        <rFont val="Calibri"/>
        <family val="2"/>
        <scheme val="minor"/>
      </rPr>
      <t xml:space="preserve">
Productos lácteos y huevos de aves </t>
    </r>
  </si>
  <si>
    <r>
      <rPr>
        <b/>
        <u/>
        <sz val="11"/>
        <color theme="1"/>
        <rFont val="Calibri"/>
        <family val="2"/>
        <scheme val="minor"/>
      </rPr>
      <t>03</t>
    </r>
    <r>
      <rPr>
        <sz val="11"/>
        <color theme="1"/>
        <rFont val="Calibri"/>
        <family val="2"/>
        <scheme val="minor"/>
      </rPr>
      <t xml:space="preserve"> pescados, crustaceos y moluscos</t>
    </r>
  </si>
  <si>
    <r>
      <rPr>
        <b/>
        <u/>
        <sz val="11"/>
        <color theme="1"/>
        <rFont val="Calibri"/>
        <family val="2"/>
        <scheme val="minor"/>
      </rPr>
      <t>04</t>
    </r>
    <r>
      <rPr>
        <sz val="11"/>
        <color theme="1"/>
        <rFont val="Calibri"/>
        <family val="2"/>
        <scheme val="minor"/>
      </rPr>
      <t xml:space="preserve"> preparaciones de cereal y cereal</t>
    </r>
  </si>
  <si>
    <r>
      <rPr>
        <b/>
        <u/>
        <sz val="11"/>
        <color theme="1"/>
        <rFont val="Calibri"/>
        <family val="2"/>
        <scheme val="minor"/>
      </rPr>
      <t>05</t>
    </r>
    <r>
      <rPr>
        <sz val="11"/>
        <color theme="1"/>
        <rFont val="Calibri"/>
        <family val="2"/>
        <scheme val="minor"/>
      </rPr>
      <t xml:space="preserve"> vegetales y frutas</t>
    </r>
  </si>
  <si>
    <r>
      <rPr>
        <b/>
        <u/>
        <sz val="11"/>
        <color theme="1"/>
        <rFont val="Calibri"/>
        <family val="2"/>
        <scheme val="minor"/>
      </rPr>
      <t xml:space="preserve">06 </t>
    </r>
    <r>
      <rPr>
        <sz val="11"/>
        <color theme="1"/>
        <rFont val="Calibri"/>
        <family val="2"/>
        <scheme val="minor"/>
      </rPr>
      <t>azucar, preparaciones de azucar y miel</t>
    </r>
  </si>
  <si>
    <r>
      <rPr>
        <b/>
        <u/>
        <sz val="11"/>
        <color theme="1"/>
        <rFont val="Calibri"/>
        <family val="2"/>
        <scheme val="minor"/>
      </rPr>
      <t>07</t>
    </r>
    <r>
      <rPr>
        <sz val="11"/>
        <color theme="1"/>
        <rFont val="Calibri"/>
        <family val="2"/>
        <scheme val="minor"/>
      </rPr>
      <t>café, te, cacao y especias</t>
    </r>
  </si>
  <si>
    <r>
      <rPr>
        <b/>
        <u/>
        <sz val="11"/>
        <color theme="1"/>
        <rFont val="Calibri"/>
        <family val="2"/>
        <scheme val="minor"/>
      </rPr>
      <t>08</t>
    </r>
    <r>
      <rPr>
        <sz val="11"/>
        <color theme="1"/>
        <rFont val="Calibri"/>
        <family val="2"/>
        <scheme val="minor"/>
      </rPr>
      <t xml:space="preserve">   comida para animales</t>
    </r>
  </si>
  <si>
    <r>
      <rPr>
        <b/>
        <u/>
        <sz val="11"/>
        <color theme="1"/>
        <rFont val="Calibri"/>
        <family val="2"/>
        <scheme val="minor"/>
      </rPr>
      <t xml:space="preserve">09 </t>
    </r>
    <r>
      <rPr>
        <sz val="11"/>
        <color theme="1"/>
        <rFont val="Calibri"/>
        <family val="2"/>
        <scheme val="minor"/>
      </rPr>
      <t xml:space="preserve">
Productos y preparaciones alimenticias diversos</t>
    </r>
  </si>
  <si>
    <t>Fuente: Naciones Unidas</t>
  </si>
  <si>
    <t>Trade Value (US$)</t>
  </si>
  <si>
    <t>Exportaciones  de Colombia a USA (US$) miles</t>
  </si>
  <si>
    <t>Importaciones  de Colombia  desde USA (US$ miles)</t>
  </si>
  <si>
    <t>Total exportaciones
 a USA (US$ miles)</t>
  </si>
  <si>
    <t>Total importaciones
 a Colombia (US$ miles)</t>
  </si>
  <si>
    <t>Total exportaciones
 a Colombia (US$ miles)</t>
  </si>
  <si>
    <t>Balanza Comercial Absoluta Colombia 
(Precio CIF, US$ miles)</t>
  </si>
  <si>
    <t>Total importaciones a USA
 a Colombia (US$ miles)</t>
  </si>
  <si>
    <t>Balanza Comercial Absoluta USA
(Precio CIF, US$ miles)</t>
  </si>
  <si>
    <t>Total Importaciones de Colombia (US$ miles)</t>
  </si>
  <si>
    <t>Total Intercambio de Colombia (US$ miles)</t>
  </si>
  <si>
    <t>Importaciones 
por habitante (US$ dólares)</t>
  </si>
  <si>
    <t>Total importaciones
 de USA (US$ miles)</t>
  </si>
  <si>
    <t>Total Balanza de USA (US$ miles)</t>
  </si>
  <si>
    <t>Intercambio Comercial  absoluto
por habitante (US$ dólares)</t>
  </si>
  <si>
    <t>Total Intercambio Comercial de Colombia (US$ miles)</t>
  </si>
  <si>
    <t>Total Balanza Comercial de Colombia (US$ miles)</t>
  </si>
  <si>
    <t>Total exportaciones del grupo
 a USA (US$ miles)</t>
  </si>
  <si>
    <t>Exportaciones del producto k realizadas por el país i hacia el país j-Importaciones del producto k realizadas por el país i hacia el país j</t>
  </si>
  <si>
    <t>Exportaciones de Colombia al mundo+ Importaciones de Colombia al mundo</t>
  </si>
  <si>
    <t>-</t>
  </si>
  <si>
    <t>Importaciones de Colombia
Precio (US$ miles)</t>
  </si>
  <si>
    <t>Exportaciones  de Colombia a USA (US$)</t>
  </si>
  <si>
    <t>Importaciones  de Colombia  desde USA (US$ millones)</t>
  </si>
  <si>
    <t>Balanza Comercial Colombia 
( US$ millones)</t>
  </si>
  <si>
    <t>Total exportaciones
 a USA (US$)</t>
  </si>
  <si>
    <t>nd</t>
  </si>
  <si>
    <t>Total exportaciones
 a Colombia (US$ Millones)</t>
  </si>
  <si>
    <t>Total importaciones a USA
 a Colombia (US$)</t>
  </si>
  <si>
    <t>Balanza Comercial Absoluta Colombia 
( US$ millones)</t>
  </si>
  <si>
    <t>Balanza Comercial Absoluta USA
(US$ millones)</t>
  </si>
  <si>
    <t>Balanza Comercial Absoluta Colombia 
(US$ millones)</t>
  </si>
  <si>
    <t>Balanza Comercial Absoluta Colombia 
(US$ millones)/2</t>
  </si>
  <si>
    <t>Balanza Comercial Absoluta USA
(US$ millones)/2</t>
  </si>
  <si>
    <t>Total importaciones
 de USA (US$)</t>
  </si>
  <si>
    <t>Total exportaciones del grupo
 a USA (US$)</t>
  </si>
  <si>
    <t>Exportaciones  de Colombia a USA (US$ miles)</t>
  </si>
  <si>
    <t>Exportaciones  de Colombia a USA (US$ millones)</t>
  </si>
  <si>
    <t>Total importaciones a USA
 de Colombia (US$ millones)</t>
  </si>
  <si>
    <t>POTENCIAL CMRCIO INT</t>
  </si>
  <si>
    <t>n.d</t>
  </si>
  <si>
    <t>Total exportaciones del grupo hacia el mundo (US$ millones)</t>
  </si>
  <si>
    <t>Total exportaciones de Colombia hacia el mundo
  (US$ Billones)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</si>
</sst>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164" formatCode="_-&quot;$&quot;* #,##0.00_-;\-&quot;$&quot;* #,##0.00_-;_-&quot;$&quot;* &quot;-&quot;??_-;_-@_-"/>
    <numFmt numFmtId="165" formatCode="&quot;$&quot;\ #,##0.00"/>
    <numFmt numFmtId="166" formatCode="&quot;$&quot;\ #,##0"/>
    <numFmt numFmtId="167" formatCode="0.00000%"/>
    <numFmt numFmtId="168" formatCode="&quot;$&quot;#,##0.00"/>
    <numFmt numFmtId="169" formatCode="0.000000%"/>
    <numFmt numFmtId="170" formatCode="0.0000000%"/>
    <numFmt numFmtId="171" formatCode="[$$-409]#,##0"/>
    <numFmt numFmtId="172" formatCode="_-* #,##0.00\ &quot;€&quot;_-;\-* #,##0.00\ &quot;€&quot;_-;_-* &quot;-&quot;??\ &quot;€&quot;_-;_-@_-"/>
    <numFmt numFmtId="173" formatCode="0.0000%"/>
    <numFmt numFmtId="174" formatCode="0.000000000%"/>
    <numFmt numFmtId="175" formatCode="&quot;$&quot;\ #,##0.000"/>
    <numFmt numFmtId="176" formatCode="&quot;$&quot;\ #,##0.0"/>
    <numFmt numFmtId="177" formatCode="0.000"/>
    <numFmt numFmtId="178" formatCode="0.0000"/>
    <numFmt numFmtId="179" formatCode="0.0"/>
    <numFmt numFmtId="180" formatCode="[$$-409]#,##0.00"/>
    <numFmt numFmtId="181" formatCode="0.0000000000%"/>
    <numFmt numFmtId="182" formatCode="0.00000000000%"/>
    <numFmt numFmtId="183" formatCode="0.000000000000%"/>
    <numFmt numFmtId="184" formatCode="0.00000000%"/>
    <numFmt numFmtId="185" formatCode="&quot;$&quot;\ #,##0.0000"/>
    <numFmt numFmtId="186" formatCode="&quot;$&quot;\ #,##0.00000"/>
    <numFmt numFmtId="187" formatCode="[$$-409]#,##0.000"/>
    <numFmt numFmtId="188" formatCode="0.0000000"/>
    <numFmt numFmtId="189" formatCode="0.000000"/>
    <numFmt numFmtId="190" formatCode="0.00000000"/>
    <numFmt numFmtId="191" formatCode="[$$-409]#,##0.0"/>
    <numFmt numFmtId="192" formatCode="&quot;$&quot;\ #,##0.0000000"/>
    <numFmt numFmtId="193" formatCode="0.000%"/>
    <numFmt numFmtId="194" formatCode="&quot;$&quot;\ 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4B41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16" fillId="0" borderId="0" xfId="0" applyFont="1"/>
    <xf numFmtId="10" fontId="0" fillId="0" borderId="15" xfId="42" applyNumberFormat="1" applyFont="1" applyBorder="1" applyAlignment="1">
      <alignment horizontal="center"/>
    </xf>
    <xf numFmtId="10" fontId="0" fillId="0" borderId="18" xfId="42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0" fontId="0" fillId="0" borderId="0" xfId="42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7" fontId="0" fillId="0" borderId="15" xfId="42" applyNumberFormat="1" applyFont="1" applyBorder="1" applyAlignment="1">
      <alignment horizontal="center"/>
    </xf>
    <xf numFmtId="167" fontId="0" fillId="0" borderId="18" xfId="42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7" fontId="0" fillId="0" borderId="0" xfId="42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8" fontId="0" fillId="0" borderId="10" xfId="0" applyNumberFormat="1" applyBorder="1" applyAlignment="1">
      <alignment horizontal="center"/>
    </xf>
    <xf numFmtId="168" fontId="0" fillId="0" borderId="10" xfId="43" applyNumberFormat="1" applyFont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0" xfId="42" applyNumberFormat="1" applyFont="1" applyBorder="1" applyAlignment="1">
      <alignment horizontal="center"/>
    </xf>
    <xf numFmtId="0" fontId="17" fillId="33" borderId="12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165" fontId="0" fillId="34" borderId="10" xfId="0" applyNumberFormat="1" applyFont="1" applyFill="1" applyBorder="1" applyAlignment="1">
      <alignment horizontal="center"/>
    </xf>
    <xf numFmtId="0" fontId="0" fillId="0" borderId="21" xfId="0" applyBorder="1"/>
    <xf numFmtId="0" fontId="0" fillId="34" borderId="10" xfId="0" applyFont="1" applyFill="1" applyBorder="1" applyAlignment="1">
      <alignment horizontal="center" vertical="center"/>
    </xf>
    <xf numFmtId="0" fontId="0" fillId="35" borderId="10" xfId="0" applyFont="1" applyFill="1" applyBorder="1" applyAlignment="1">
      <alignment horizontal="center" vertical="center"/>
    </xf>
    <xf numFmtId="0" fontId="0" fillId="34" borderId="10" xfId="0" applyNumberFormat="1" applyFont="1" applyFill="1" applyBorder="1" applyAlignment="1">
      <alignment horizontal="center"/>
    </xf>
    <xf numFmtId="0" fontId="0" fillId="35" borderId="10" xfId="0" applyNumberFormat="1" applyFont="1" applyFill="1" applyBorder="1" applyAlignment="1">
      <alignment horizontal="center"/>
    </xf>
    <xf numFmtId="170" fontId="0" fillId="0" borderId="15" xfId="42" applyNumberFormat="1" applyFont="1" applyBorder="1" applyAlignment="1">
      <alignment horizontal="center"/>
    </xf>
    <xf numFmtId="0" fontId="0" fillId="0" borderId="0" xfId="0" applyAlignment="1">
      <alignment vertical="center"/>
    </xf>
    <xf numFmtId="169" fontId="0" fillId="0" borderId="10" xfId="42" applyNumberFormat="1" applyFont="1" applyBorder="1" applyAlignment="1">
      <alignment horizontal="center"/>
    </xf>
    <xf numFmtId="2" fontId="0" fillId="0" borderId="0" xfId="42" applyNumberFormat="1" applyFont="1" applyBorder="1" applyAlignment="1">
      <alignment horizontal="center"/>
    </xf>
    <xf numFmtId="165" fontId="0" fillId="0" borderId="17" xfId="0" applyNumberFormat="1" applyFont="1" applyFill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9" fontId="0" fillId="0" borderId="17" xfId="42" applyNumberFormat="1" applyFont="1" applyBorder="1" applyAlignment="1">
      <alignment horizontal="center"/>
    </xf>
    <xf numFmtId="169" fontId="0" fillId="0" borderId="0" xfId="42" applyNumberFormat="1" applyFont="1" applyBorder="1" applyAlignment="1">
      <alignment horizontal="center"/>
    </xf>
    <xf numFmtId="0" fontId="0" fillId="0" borderId="0" xfId="0" applyBorder="1"/>
    <xf numFmtId="0" fontId="0" fillId="0" borderId="22" xfId="0" applyBorder="1"/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16" fillId="0" borderId="0" xfId="0" applyFont="1" applyAlignment="1">
      <alignment horizontal="center"/>
    </xf>
    <xf numFmtId="0" fontId="0" fillId="34" borderId="10" xfId="0" applyFont="1" applyFill="1" applyBorder="1" applyAlignment="1">
      <alignment horizontal="center"/>
    </xf>
    <xf numFmtId="0" fontId="0" fillId="35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37" borderId="10" xfId="0" applyFill="1" applyBorder="1" applyAlignment="1">
      <alignment horizontal="left"/>
    </xf>
    <xf numFmtId="171" fontId="0" fillId="34" borderId="1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wrapText="1"/>
    </xf>
    <xf numFmtId="173" fontId="0" fillId="0" borderId="15" xfId="42" applyNumberFormat="1" applyFont="1" applyBorder="1" applyAlignment="1">
      <alignment horizontal="center"/>
    </xf>
    <xf numFmtId="174" fontId="0" fillId="0" borderId="15" xfId="42" applyNumberFormat="1" applyFont="1" applyBorder="1" applyAlignment="1">
      <alignment horizontal="center"/>
    </xf>
    <xf numFmtId="174" fontId="0" fillId="0" borderId="18" xfId="42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175" fontId="0" fillId="34" borderId="10" xfId="0" applyNumberFormat="1" applyFont="1" applyFill="1" applyBorder="1" applyAlignment="1">
      <alignment horizontal="center"/>
    </xf>
    <xf numFmtId="176" fontId="0" fillId="34" borderId="10" xfId="0" applyNumberFormat="1" applyFont="1" applyFill="1" applyBorder="1" applyAlignment="1">
      <alignment horizontal="center" vertical="center"/>
    </xf>
    <xf numFmtId="176" fontId="0" fillId="35" borderId="10" xfId="0" applyNumberFormat="1" applyFont="1" applyFill="1" applyBorder="1" applyAlignment="1">
      <alignment horizontal="center" vertical="center"/>
    </xf>
    <xf numFmtId="170" fontId="0" fillId="0" borderId="0" xfId="42" applyNumberFormat="1" applyFont="1"/>
    <xf numFmtId="178" fontId="0" fillId="0" borderId="15" xfId="42" applyNumberFormat="1" applyFont="1" applyBorder="1" applyAlignment="1">
      <alignment horizontal="center"/>
    </xf>
    <xf numFmtId="179" fontId="0" fillId="0" borderId="10" xfId="0" applyNumberFormat="1" applyBorder="1" applyAlignment="1">
      <alignment horizontal="center"/>
    </xf>
    <xf numFmtId="180" fontId="0" fillId="34" borderId="10" xfId="0" applyNumberFormat="1" applyFont="1" applyFill="1" applyBorder="1" applyAlignment="1">
      <alignment horizontal="center"/>
    </xf>
    <xf numFmtId="169" fontId="0" fillId="0" borderId="15" xfId="42" applyNumberFormat="1" applyFont="1" applyBorder="1" applyAlignment="1">
      <alignment horizontal="center"/>
    </xf>
    <xf numFmtId="181" fontId="0" fillId="0" borderId="15" xfId="42" applyNumberFormat="1" applyFont="1" applyBorder="1" applyAlignment="1">
      <alignment horizontal="center"/>
    </xf>
    <xf numFmtId="182" fontId="0" fillId="0" borderId="15" xfId="42" applyNumberFormat="1" applyFont="1" applyBorder="1" applyAlignment="1">
      <alignment horizontal="center"/>
    </xf>
    <xf numFmtId="183" fontId="0" fillId="0" borderId="15" xfId="42" applyNumberFormat="1" applyFont="1" applyBorder="1" applyAlignment="1">
      <alignment horizontal="center"/>
    </xf>
    <xf numFmtId="184" fontId="0" fillId="0" borderId="15" xfId="42" applyNumberFormat="1" applyFont="1" applyBorder="1" applyAlignment="1">
      <alignment horizontal="center"/>
    </xf>
    <xf numFmtId="175" fontId="0" fillId="0" borderId="10" xfId="0" applyNumberFormat="1" applyBorder="1" applyAlignment="1">
      <alignment horizontal="center"/>
    </xf>
    <xf numFmtId="185" fontId="0" fillId="34" borderId="10" xfId="0" applyNumberFormat="1" applyFont="1" applyFill="1" applyBorder="1" applyAlignment="1">
      <alignment horizontal="center"/>
    </xf>
    <xf numFmtId="186" fontId="0" fillId="34" borderId="10" xfId="0" applyNumberFormat="1" applyFont="1" applyFill="1" applyBorder="1" applyAlignment="1">
      <alignment horizontal="center"/>
    </xf>
    <xf numFmtId="182" fontId="0" fillId="0" borderId="18" xfId="42" applyNumberFormat="1" applyFon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175" fontId="0" fillId="0" borderId="17" xfId="0" applyNumberFormat="1" applyBorder="1" applyAlignment="1">
      <alignment horizontal="center"/>
    </xf>
    <xf numFmtId="184" fontId="0" fillId="0" borderId="10" xfId="42" applyNumberFormat="1" applyFont="1" applyBorder="1" applyAlignment="1">
      <alignment horizontal="center"/>
    </xf>
    <xf numFmtId="166" fontId="0" fillId="34" borderId="10" xfId="0" applyNumberFormat="1" applyFont="1" applyFill="1" applyBorder="1" applyAlignment="1">
      <alignment horizontal="center" vertical="center"/>
    </xf>
    <xf numFmtId="175" fontId="0" fillId="34" borderId="1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187" fontId="0" fillId="34" borderId="10" xfId="0" applyNumberFormat="1" applyFont="1" applyFill="1" applyBorder="1" applyAlignment="1">
      <alignment horizontal="center"/>
    </xf>
    <xf numFmtId="170" fontId="0" fillId="0" borderId="10" xfId="42" applyNumberFormat="1" applyFont="1" applyBorder="1" applyAlignment="1">
      <alignment horizontal="center"/>
    </xf>
    <xf numFmtId="188" fontId="0" fillId="0" borderId="15" xfId="42" applyNumberFormat="1" applyFont="1" applyBorder="1" applyAlignment="1">
      <alignment horizontal="center"/>
    </xf>
    <xf numFmtId="189" fontId="0" fillId="0" borderId="10" xfId="42" applyNumberFormat="1" applyFont="1" applyBorder="1" applyAlignment="1">
      <alignment horizontal="center"/>
    </xf>
    <xf numFmtId="189" fontId="0" fillId="0" borderId="10" xfId="0" applyNumberFormat="1" applyBorder="1" applyAlignment="1">
      <alignment horizontal="center"/>
    </xf>
    <xf numFmtId="190" fontId="0" fillId="0" borderId="15" xfId="42" applyNumberFormat="1" applyFont="1" applyBorder="1" applyAlignment="1">
      <alignment horizontal="center"/>
    </xf>
    <xf numFmtId="2" fontId="0" fillId="34" borderId="1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2" fontId="0" fillId="35" borderId="17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91" fontId="0" fillId="34" borderId="10" xfId="0" applyNumberFormat="1" applyFont="1" applyFill="1" applyBorder="1" applyAlignment="1">
      <alignment horizontal="center"/>
    </xf>
    <xf numFmtId="167" fontId="0" fillId="0" borderId="10" xfId="42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/>
    </xf>
    <xf numFmtId="177" fontId="0" fillId="0" borderId="0" xfId="0" applyNumberFormat="1"/>
    <xf numFmtId="177" fontId="0" fillId="0" borderId="15" xfId="42" applyNumberFormat="1" applyFont="1" applyBorder="1" applyAlignment="1">
      <alignment horizontal="center"/>
    </xf>
    <xf numFmtId="185" fontId="0" fillId="0" borderId="0" xfId="0" applyNumberFormat="1" applyBorder="1"/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92" fontId="0" fillId="0" borderId="15" xfId="42" applyNumberFormat="1" applyFont="1" applyBorder="1" applyAlignment="1">
      <alignment horizontal="center"/>
    </xf>
    <xf numFmtId="193" fontId="0" fillId="0" borderId="15" xfId="42" applyNumberFormat="1" applyFont="1" applyBorder="1" applyAlignment="1">
      <alignment horizontal="center"/>
    </xf>
    <xf numFmtId="194" fontId="0" fillId="0" borderId="15" xfId="42" applyNumberFormat="1" applyFon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79" fontId="0" fillId="0" borderId="10" xfId="42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3" fillId="33" borderId="15" xfId="0" applyFont="1" applyFill="1" applyBorder="1" applyAlignment="1">
      <alignment horizontal="center" vertical="center"/>
    </xf>
    <xf numFmtId="0" fontId="13" fillId="33" borderId="20" xfId="0" applyFont="1" applyFill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/>
    </xf>
    <xf numFmtId="0" fontId="18" fillId="33" borderId="20" xfId="0" applyFont="1" applyFill="1" applyBorder="1" applyAlignment="1">
      <alignment horizontal="center"/>
    </xf>
    <xf numFmtId="0" fontId="18" fillId="33" borderId="14" xfId="0" applyFont="1" applyFill="1" applyBorder="1" applyAlignment="1">
      <alignment horizontal="center"/>
    </xf>
    <xf numFmtId="0" fontId="18" fillId="33" borderId="19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3" builtinId="4"/>
    <cellStyle name="Moneda 2" xfId="44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3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9" formatCode="0.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[$$-409]#,##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3" formatCode="0.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4" formatCode="&quot;$&quot;\ #,##0.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7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9" formatCode="0.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9" formatCode="0.00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[$$-409]#,##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2" formatCode="0.0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2" formatCode="&quot;$&quot;\ #,##0.0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7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9" formatCode="0.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[$$-409]#,##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1" formatCode="0.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1" formatCode="0.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9" formatCode="0.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[$$-409]#,##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1" formatCode="0.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2" formatCode="0.0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9" formatCode="0.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[$$-409]#,##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2" formatCode="0.0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9" formatCode="0.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0" formatCode="0.0000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[$$-409]#,##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2" formatCode="0.0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9" formatCode="0.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0" formatCode="0.00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[$$-409]#,##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9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9" formatCode="0.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8" formatCode="0.0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[$$-409]#,##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&quot;$&quot;\ #,##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7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8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[$$-409]#,##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&quot;$&quot;\ #,##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&quot;$&quot;\ 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1" formatCode="0.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&quot;$&quot;\ #,##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4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&quot;$&quot;#,##0.0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8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6" formatCode="&quot;$&quot;\ #,##0.0"/>
      <fill>
        <patternFill patternType="solid">
          <fgColor theme="9" tint="0.59999389629810485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0.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3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4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2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1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00'!$B$1</c:f>
              <c:strCache>
                <c:ptCount val="1"/>
                <c:pt idx="0">
                  <c:v>Exportaciones  de Colombia a USA (US$) miles</c:v>
                </c:pt>
              </c:strCache>
            </c:strRef>
          </c:tx>
          <c:invertIfNegative val="0"/>
          <c:cat>
            <c:numRef>
              <c:f>'Export 00'!$A$2:$A$26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00'!$B$2:$B$26</c:f>
              <c:numCache>
                <c:formatCode>General</c:formatCode>
                <c:ptCount val="25"/>
                <c:pt idx="0">
                  <c:v>734.10299999999995</c:v>
                </c:pt>
                <c:pt idx="1">
                  <c:v>1414.192</c:v>
                </c:pt>
                <c:pt idx="2">
                  <c:v>2008.502</c:v>
                </c:pt>
                <c:pt idx="3">
                  <c:v>2032.5329999999999</c:v>
                </c:pt>
                <c:pt idx="4">
                  <c:v>2091.5880000000002</c:v>
                </c:pt>
                <c:pt idx="5">
                  <c:v>1953.7819999999999</c:v>
                </c:pt>
                <c:pt idx="6">
                  <c:v>1089.6410000000001</c:v>
                </c:pt>
                <c:pt idx="7">
                  <c:v>943.56700000000001</c:v>
                </c:pt>
                <c:pt idx="8">
                  <c:v>1843.0740000000001</c:v>
                </c:pt>
                <c:pt idx="9">
                  <c:v>1791.836</c:v>
                </c:pt>
                <c:pt idx="10">
                  <c:v>1957.27</c:v>
                </c:pt>
                <c:pt idx="11">
                  <c:v>1236.923</c:v>
                </c:pt>
                <c:pt idx="12">
                  <c:v>1441.682</c:v>
                </c:pt>
                <c:pt idx="13">
                  <c:v>2121.6509999999998</c:v>
                </c:pt>
                <c:pt idx="14">
                  <c:v>3450.0210000000002</c:v>
                </c:pt>
                <c:pt idx="15">
                  <c:v>1953.683</c:v>
                </c:pt>
                <c:pt idx="16">
                  <c:v>2639.74</c:v>
                </c:pt>
                <c:pt idx="17">
                  <c:v>1717.326</c:v>
                </c:pt>
                <c:pt idx="18">
                  <c:v>1575.6310000000001</c:v>
                </c:pt>
                <c:pt idx="19">
                  <c:v>1504.893</c:v>
                </c:pt>
                <c:pt idx="20">
                  <c:v>972.726</c:v>
                </c:pt>
                <c:pt idx="21">
                  <c:v>1055.278</c:v>
                </c:pt>
                <c:pt idx="22">
                  <c:v>1403.4190000000001</c:v>
                </c:pt>
                <c:pt idx="23">
                  <c:v>1707.6569999999999</c:v>
                </c:pt>
                <c:pt idx="24">
                  <c:v>2333.547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51776"/>
        <c:axId val="503152168"/>
      </c:barChart>
      <c:catAx>
        <c:axId val="50315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3152168"/>
        <c:crosses val="autoZero"/>
        <c:auto val="1"/>
        <c:lblAlgn val="ctr"/>
        <c:lblOffset val="100"/>
        <c:noMultiLvlLbl val="0"/>
      </c:catAx>
      <c:valAx>
        <c:axId val="503152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Exportaciones de Animales vivos a Estados Unidos (miles de dólares)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3151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00'!$D$183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00'!$A$184:$A$208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697992"/>
        <c:axId val="5117855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00'!$B$183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(Precio CIF,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00'!$A$184:$A$208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00'!$B$184:$B$208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721.07736799999998</c:v>
                      </c:pt>
                      <c:pt idx="1">
                        <c:v>778.54281600000002</c:v>
                      </c:pt>
                      <c:pt idx="2">
                        <c:v>726.94601599999999</c:v>
                      </c:pt>
                      <c:pt idx="3">
                        <c:v>990.27204799999993</c:v>
                      </c:pt>
                      <c:pt idx="4">
                        <c:v>1124.3610880000001</c:v>
                      </c:pt>
                      <c:pt idx="5">
                        <c:v>1264.539008</c:v>
                      </c:pt>
                      <c:pt idx="6">
                        <c:v>1477.9654399999999</c:v>
                      </c:pt>
                      <c:pt idx="7">
                        <c:v>1348.7868799999999</c:v>
                      </c:pt>
                      <c:pt idx="8">
                        <c:v>1193.2297920000001</c:v>
                      </c:pt>
                      <c:pt idx="9">
                        <c:v>1071.982888</c:v>
                      </c:pt>
                      <c:pt idx="10">
                        <c:v>940.04740700000002</c:v>
                      </c:pt>
                      <c:pt idx="11">
                        <c:v>1018.38838</c:v>
                      </c:pt>
                      <c:pt idx="12">
                        <c:v>1038.2639630000001</c:v>
                      </c:pt>
                      <c:pt idx="13">
                        <c:v>1217.3023229999999</c:v>
                      </c:pt>
                      <c:pt idx="14">
                        <c:v>1536.0551889999999</c:v>
                      </c:pt>
                      <c:pt idx="15">
                        <c:v>1674.9357299999999</c:v>
                      </c:pt>
                      <c:pt idx="16">
                        <c:v>2090.388798</c:v>
                      </c:pt>
                      <c:pt idx="17">
                        <c:v>2658.591101</c:v>
                      </c:pt>
                      <c:pt idx="18">
                        <c:v>1909.450292</c:v>
                      </c:pt>
                      <c:pt idx="19">
                        <c:v>1915.172262</c:v>
                      </c:pt>
                      <c:pt idx="20">
                        <c:v>2470.6055799999999</c:v>
                      </c:pt>
                      <c:pt idx="21">
                        <c:v>2247.7525559999999</c:v>
                      </c:pt>
                      <c:pt idx="22">
                        <c:v>2647.175538</c:v>
                      </c:pt>
                      <c:pt idx="23">
                        <c:v>3818.3010549999999</c:v>
                      </c:pt>
                      <c:pt idx="24">
                        <c:v>3872.0835889999998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00'!$C$183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(Precio CIF, 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00'!$A$184:$A$208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00'!$C$184:$C$208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360.53868399999999</c:v>
                      </c:pt>
                      <c:pt idx="1">
                        <c:v>389.27140800000001</c:v>
                      </c:pt>
                      <c:pt idx="2">
                        <c:v>363.47300799999999</c:v>
                      </c:pt>
                      <c:pt idx="3">
                        <c:v>495.13602399999996</c:v>
                      </c:pt>
                      <c:pt idx="4">
                        <c:v>562.18054400000005</c:v>
                      </c:pt>
                      <c:pt idx="5">
                        <c:v>632.26950399999998</c:v>
                      </c:pt>
                      <c:pt idx="6">
                        <c:v>738.98271999999997</c:v>
                      </c:pt>
                      <c:pt idx="7">
                        <c:v>674.39343999999994</c:v>
                      </c:pt>
                      <c:pt idx="8">
                        <c:v>596.61489600000004</c:v>
                      </c:pt>
                      <c:pt idx="9">
                        <c:v>535.991444</c:v>
                      </c:pt>
                      <c:pt idx="10">
                        <c:v>470.02370350000001</c:v>
                      </c:pt>
                      <c:pt idx="11">
                        <c:v>509.19418999999999</c:v>
                      </c:pt>
                      <c:pt idx="12">
                        <c:v>519.13198150000005</c:v>
                      </c:pt>
                      <c:pt idx="13">
                        <c:v>608.65116149999994</c:v>
                      </c:pt>
                      <c:pt idx="14">
                        <c:v>768.02759449999996</c:v>
                      </c:pt>
                      <c:pt idx="15">
                        <c:v>837.46786499999996</c:v>
                      </c:pt>
                      <c:pt idx="16">
                        <c:v>1045.194399</c:v>
                      </c:pt>
                      <c:pt idx="17">
                        <c:v>1329.2955505</c:v>
                      </c:pt>
                      <c:pt idx="18">
                        <c:v>954.725146</c:v>
                      </c:pt>
                      <c:pt idx="19">
                        <c:v>957.58613100000002</c:v>
                      </c:pt>
                      <c:pt idx="20">
                        <c:v>1235.30279</c:v>
                      </c:pt>
                      <c:pt idx="21">
                        <c:v>1123.876278</c:v>
                      </c:pt>
                      <c:pt idx="22">
                        <c:v>1323.587769</c:v>
                      </c:pt>
                      <c:pt idx="23">
                        <c:v>1909.1505275</c:v>
                      </c:pt>
                      <c:pt idx="24">
                        <c:v>1936.0417944999999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00'!$E$183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00'!$A$184:$A$208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00'!$E$184:$E$208</c:f>
              <c:numCache>
                <c:formatCode>0.00%</c:formatCode>
                <c:ptCount val="25"/>
                <c:pt idx="0">
                  <c:v>8.7425462196023332E-3</c:v>
                </c:pt>
                <c:pt idx="1">
                  <c:v>7.8992427634084102E-3</c:v>
                </c:pt>
                <c:pt idx="2">
                  <c:v>6.5135566829442543E-3</c:v>
                </c:pt>
                <c:pt idx="3">
                  <c:v>6.0601570872769669E-3</c:v>
                </c:pt>
                <c:pt idx="4">
                  <c:v>6.0771493592793628E-3</c:v>
                </c:pt>
                <c:pt idx="5">
                  <c:v>6.5075008021451223E-3</c:v>
                </c:pt>
                <c:pt idx="6">
                  <c:v>6.9284279864922395E-3</c:v>
                </c:pt>
                <c:pt idx="7">
                  <c:v>6.8505464963129169E-3</c:v>
                </c:pt>
                <c:pt idx="8">
                  <c:v>6.9223982092283757E-3</c:v>
                </c:pt>
                <c:pt idx="9">
                  <c:v>5.3660006880767207E-3</c:v>
                </c:pt>
                <c:pt idx="10">
                  <c:v>4.7862193128184521E-3</c:v>
                </c:pt>
                <c:pt idx="11">
                  <c:v>5.1993929521690083E-3</c:v>
                </c:pt>
                <c:pt idx="12">
                  <c:v>5.482750912462679E-3</c:v>
                </c:pt>
                <c:pt idx="13">
                  <c:v>5.1988200782563795E-3</c:v>
                </c:pt>
                <c:pt idx="14">
                  <c:v>5.2401389066742635E-3</c:v>
                </c:pt>
                <c:pt idx="15">
                  <c:v>5.1507910233587586E-3</c:v>
                </c:pt>
                <c:pt idx="16">
                  <c:v>5.0391093572480419E-3</c:v>
                </c:pt>
                <c:pt idx="17">
                  <c:v>5.4483247323059581E-3</c:v>
                </c:pt>
                <c:pt idx="18">
                  <c:v>4.0831337137303136E-3</c:v>
                </c:pt>
                <c:pt idx="19">
                  <c:v>3.3363256485275331E-3</c:v>
                </c:pt>
                <c:pt idx="20">
                  <c:v>3.682906885143597E-3</c:v>
                </c:pt>
                <c:pt idx="21">
                  <c:v>3.0402997049943695E-3</c:v>
                </c:pt>
                <c:pt idx="22">
                  <c:v>3.4813677833502397E-3</c:v>
                </c:pt>
                <c:pt idx="23">
                  <c:v>5.0451102065059254E-3</c:v>
                </c:pt>
                <c:pt idx="24">
                  <c:v>6.6284605686481165E-3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86296"/>
        <c:axId val="511785904"/>
      </c:lineChart>
      <c:catAx>
        <c:axId val="502697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785512"/>
        <c:crosses val="autoZero"/>
        <c:auto val="1"/>
        <c:lblAlgn val="ctr"/>
        <c:lblOffset val="100"/>
        <c:noMultiLvlLbl val="0"/>
      </c:catAx>
      <c:valAx>
        <c:axId val="51178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2697992"/>
        <c:crosses val="autoZero"/>
        <c:crossBetween val="between"/>
        <c:majorUnit val="80000"/>
      </c:valAx>
      <c:valAx>
        <c:axId val="511785904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786296"/>
        <c:crosses val="max"/>
        <c:crossBetween val="between"/>
        <c:majorUnit val="2.0000000000000005E-3"/>
      </c:valAx>
      <c:catAx>
        <c:axId val="511786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1785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06'!$C$6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06'!$A$7:$A$31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68720"/>
        <c:axId val="4480691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06'!$B$6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06'!$A$7:$A$31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06'!$B$7:$B$31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34.710495999999999</c:v>
                      </c:pt>
                      <c:pt idx="1">
                        <c:v>31.046907999999998</c:v>
                      </c:pt>
                      <c:pt idx="2">
                        <c:v>38.090372000000002</c:v>
                      </c:pt>
                      <c:pt idx="3">
                        <c:v>47.060023999999999</c:v>
                      </c:pt>
                      <c:pt idx="4">
                        <c:v>41.068123999999997</c:v>
                      </c:pt>
                      <c:pt idx="5">
                        <c:v>60.505304000000002</c:v>
                      </c:pt>
                      <c:pt idx="6">
                        <c:v>51.986088000000002</c:v>
                      </c:pt>
                      <c:pt idx="7">
                        <c:v>66.543272000000002</c:v>
                      </c:pt>
                      <c:pt idx="8">
                        <c:v>35.998551999999997</c:v>
                      </c:pt>
                      <c:pt idx="9">
                        <c:v>31.175438</c:v>
                      </c:pt>
                      <c:pt idx="10">
                        <c:v>34.390827000000002</c:v>
                      </c:pt>
                      <c:pt idx="11">
                        <c:v>35.354666000000002</c:v>
                      </c:pt>
                      <c:pt idx="12">
                        <c:v>56.438361</c:v>
                      </c:pt>
                      <c:pt idx="13">
                        <c:v>50.564785000000001</c:v>
                      </c:pt>
                      <c:pt idx="14">
                        <c:v>58.066253000000003</c:v>
                      </c:pt>
                      <c:pt idx="15">
                        <c:v>74.293081999999998</c:v>
                      </c:pt>
                      <c:pt idx="16">
                        <c:v>31.500926</c:v>
                      </c:pt>
                      <c:pt idx="17">
                        <c:v>38.706232</c:v>
                      </c:pt>
                      <c:pt idx="18">
                        <c:v>60.260446999999999</c:v>
                      </c:pt>
                      <c:pt idx="19">
                        <c:v>87.062790000000007</c:v>
                      </c:pt>
                      <c:pt idx="20">
                        <c:v>66.103155999999998</c:v>
                      </c:pt>
                      <c:pt idx="21">
                        <c:v>89.009129999999999</c:v>
                      </c:pt>
                      <c:pt idx="22">
                        <c:v>55.238146</c:v>
                      </c:pt>
                      <c:pt idx="23">
                        <c:v>97.503679000000005</c:v>
                      </c:pt>
                      <c:pt idx="24">
                        <c:v>81.490409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06'!$D$6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06'!$A$7:$A$31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06'!$D$7:$D$31</c:f>
              <c:numCache>
                <c:formatCode>0.00000%</c:formatCode>
                <c:ptCount val="25"/>
                <c:pt idx="0">
                  <c:v>8.4167976711570257E-6</c:v>
                </c:pt>
                <c:pt idx="1">
                  <c:v>6.3001560943105964E-6</c:v>
                </c:pt>
                <c:pt idx="2">
                  <c:v>6.8259208149077394E-6</c:v>
                </c:pt>
                <c:pt idx="3">
                  <c:v>5.7598543460256116E-6</c:v>
                </c:pt>
                <c:pt idx="4">
                  <c:v>4.4394478983144137E-6</c:v>
                </c:pt>
                <c:pt idx="5">
                  <c:v>6.2273810744165594E-6</c:v>
                </c:pt>
                <c:pt idx="6">
                  <c:v>4.8740228595257062E-6</c:v>
                </c:pt>
                <c:pt idx="7">
                  <c:v>6.7595227327952285E-6</c:v>
                </c:pt>
                <c:pt idx="8">
                  <c:v>4.1768369105489873E-6</c:v>
                </c:pt>
                <c:pt idx="9">
                  <c:v>3.1210838089253744E-6</c:v>
                </c:pt>
                <c:pt idx="10">
                  <c:v>3.5019944557157483E-6</c:v>
                </c:pt>
                <c:pt idx="11">
                  <c:v>3.6100726370559996E-6</c:v>
                </c:pt>
                <c:pt idx="12">
                  <c:v>5.9606706251567748E-6</c:v>
                </c:pt>
                <c:pt idx="13">
                  <c:v>4.3190128621929362E-6</c:v>
                </c:pt>
                <c:pt idx="14">
                  <c:v>3.9617747290470722E-6</c:v>
                </c:pt>
                <c:pt idx="15">
                  <c:v>4.569347145794737E-6</c:v>
                </c:pt>
                <c:pt idx="16">
                  <c:v>1.5187281057040768E-6</c:v>
                </c:pt>
                <c:pt idx="17">
                  <c:v>1.5864351687677776E-6</c:v>
                </c:pt>
                <c:pt idx="18">
                  <c:v>2.5771968380746802E-6</c:v>
                </c:pt>
                <c:pt idx="19">
                  <c:v>3.033354493198758E-6</c:v>
                </c:pt>
                <c:pt idx="20">
                  <c:v>1.9707861937405749E-6</c:v>
                </c:pt>
                <c:pt idx="21">
                  <c:v>2.4078667463502195E-6</c:v>
                </c:pt>
                <c:pt idx="22">
                  <c:v>1.4529017750117704E-6</c:v>
                </c:pt>
                <c:pt idx="23">
                  <c:v>2.5766266148690442E-6</c:v>
                </c:pt>
                <c:pt idx="24">
                  <c:v>2.7900015604725501E-6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69896"/>
        <c:axId val="448069504"/>
      </c:lineChart>
      <c:catAx>
        <c:axId val="448068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69112"/>
        <c:crosses val="autoZero"/>
        <c:auto val="1"/>
        <c:lblAlgn val="ctr"/>
        <c:lblOffset val="100"/>
        <c:noMultiLvlLbl val="0"/>
      </c:catAx>
      <c:valAx>
        <c:axId val="44806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Millones de 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68720"/>
        <c:crosses val="autoZero"/>
        <c:crossBetween val="between"/>
      </c:valAx>
      <c:valAx>
        <c:axId val="4480695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69896"/>
        <c:crosses val="max"/>
        <c:crossBetween val="between"/>
      </c:valAx>
      <c:catAx>
        <c:axId val="448069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069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06'!$C$65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06'!$A$66:$A$90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70680"/>
        <c:axId val="448071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06'!$B$65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millones)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06'!$A$66:$A$90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06'!$B$66:$B$90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1.612754</c:v>
                      </c:pt>
                      <c:pt idx="1">
                        <c:v>1.884484</c:v>
                      </c:pt>
                      <c:pt idx="2">
                        <c:v>1.8790500000000001</c:v>
                      </c:pt>
                      <c:pt idx="3">
                        <c:v>4.0806300000000002</c:v>
                      </c:pt>
                      <c:pt idx="4">
                        <c:v>3.769444</c:v>
                      </c:pt>
                      <c:pt idx="5">
                        <c:v>4.6539869999999999</c:v>
                      </c:pt>
                      <c:pt idx="6">
                        <c:v>4.695678</c:v>
                      </c:pt>
                      <c:pt idx="7">
                        <c:v>5.3708989999999996</c:v>
                      </c:pt>
                      <c:pt idx="8">
                        <c:v>5.4972760000000003</c:v>
                      </c:pt>
                      <c:pt idx="9">
                        <c:v>4.1571689999999997</c:v>
                      </c:pt>
                      <c:pt idx="10">
                        <c:v>4.3950699999999996</c:v>
                      </c:pt>
                      <c:pt idx="11">
                        <c:v>3.5804529999999999</c:v>
                      </c:pt>
                      <c:pt idx="12">
                        <c:v>3.0722160000000001</c:v>
                      </c:pt>
                      <c:pt idx="13">
                        <c:v>4.047784</c:v>
                      </c:pt>
                      <c:pt idx="14">
                        <c:v>4.8815289999999996</c:v>
                      </c:pt>
                      <c:pt idx="15">
                        <c:v>7.2342979999999999</c:v>
                      </c:pt>
                      <c:pt idx="16">
                        <c:v>11.497343000000001</c:v>
                      </c:pt>
                      <c:pt idx="17">
                        <c:v>11.216604</c:v>
                      </c:pt>
                      <c:pt idx="18">
                        <c:v>6.9827849999999998</c:v>
                      </c:pt>
                      <c:pt idx="19">
                        <c:v>7.0415270000000003</c:v>
                      </c:pt>
                      <c:pt idx="20">
                        <c:v>9.4157279999999997</c:v>
                      </c:pt>
                      <c:pt idx="21">
                        <c:v>16.035523999999999</c:v>
                      </c:pt>
                      <c:pt idx="22">
                        <c:v>16.125896000000001</c:v>
                      </c:pt>
                      <c:pt idx="23">
                        <c:v>15.409177</c:v>
                      </c:pt>
                      <c:pt idx="24">
                        <c:v>13.362054000000001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06'!$D$65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06'!$A$66:$A$90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06'!$D$66:$D$90</c:f>
              <c:numCache>
                <c:formatCode>0.000000%</c:formatCode>
                <c:ptCount val="25"/>
                <c:pt idx="0">
                  <c:v>2.6121521991343439E-8</c:v>
                </c:pt>
                <c:pt idx="1">
                  <c:v>2.8817828944662112E-8</c:v>
                </c:pt>
                <c:pt idx="2">
                  <c:v>2.7316863403907534E-8</c:v>
                </c:pt>
                <c:pt idx="3">
                  <c:v>5.5832080840033628E-8</c:v>
                </c:pt>
                <c:pt idx="4">
                  <c:v>4.9183383219859965E-8</c:v>
                </c:pt>
                <c:pt idx="5">
                  <c:v>5.7455203889384961E-8</c:v>
                </c:pt>
                <c:pt idx="6">
                  <c:v>5.4546899203869663E-8</c:v>
                </c:pt>
                <c:pt idx="7">
                  <c:v>5.9091206147801428E-8</c:v>
                </c:pt>
                <c:pt idx="8">
                  <c:v>5.6903943264948514E-8</c:v>
                </c:pt>
                <c:pt idx="9">
                  <c:v>4.0420596300610827E-8</c:v>
                </c:pt>
                <c:pt idx="10">
                  <c:v>4.1377733240543241E-8</c:v>
                </c:pt>
                <c:pt idx="11">
                  <c:v>3.2616246264864706E-8</c:v>
                </c:pt>
                <c:pt idx="12">
                  <c:v>2.6690157914352509E-8</c:v>
                </c:pt>
                <c:pt idx="13">
                  <c:v>3.2976030490769473E-8</c:v>
                </c:pt>
                <c:pt idx="14">
                  <c:v>3.7281435398907842E-8</c:v>
                </c:pt>
                <c:pt idx="15">
                  <c:v>5.2211002282928384E-8</c:v>
                </c:pt>
                <c:pt idx="16">
                  <c:v>7.9414510726372094E-8</c:v>
                </c:pt>
                <c:pt idx="17">
                  <c:v>7.6207096580363516E-8</c:v>
                </c:pt>
                <c:pt idx="18">
                  <c:v>4.84285414972835E-8</c:v>
                </c:pt>
                <c:pt idx="19">
                  <c:v>4.7055279032090359E-8</c:v>
                </c:pt>
                <c:pt idx="20">
                  <c:v>6.0676458954630921E-8</c:v>
                </c:pt>
                <c:pt idx="21">
                  <c:v>9.9258872732123387E-8</c:v>
                </c:pt>
                <c:pt idx="22">
                  <c:v>9.6775737615194251E-8</c:v>
                </c:pt>
                <c:pt idx="23">
                  <c:v>8.8823573271530495E-8</c:v>
                </c:pt>
                <c:pt idx="24">
                  <c:v>7.4452872224410153E-8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71856"/>
        <c:axId val="448071464"/>
      </c:lineChart>
      <c:catAx>
        <c:axId val="448070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1072"/>
        <c:crosses val="autoZero"/>
        <c:auto val="1"/>
        <c:lblAlgn val="ctr"/>
        <c:lblOffset val="100"/>
        <c:noMultiLvlLbl val="0"/>
      </c:catAx>
      <c:valAx>
        <c:axId val="44807107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0680"/>
        <c:crosses val="autoZero"/>
        <c:crossBetween val="between"/>
      </c:valAx>
      <c:valAx>
        <c:axId val="4480714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1856"/>
        <c:crosses val="max"/>
        <c:crossBetween val="between"/>
      </c:valAx>
      <c:catAx>
        <c:axId val="448071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071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06'!$C$35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06'!$A$36:$A$60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72640"/>
        <c:axId val="448073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06'!$B$35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06'!$A$36:$A$60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06'!$B$36:$B$60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1.612754</c:v>
                      </c:pt>
                      <c:pt idx="1">
                        <c:v>1.884484</c:v>
                      </c:pt>
                      <c:pt idx="2">
                        <c:v>1.8790500000000001</c:v>
                      </c:pt>
                      <c:pt idx="3">
                        <c:v>4.0806300000000002</c:v>
                      </c:pt>
                      <c:pt idx="4">
                        <c:v>3.769444</c:v>
                      </c:pt>
                      <c:pt idx="5">
                        <c:v>4.6539869999999999</c:v>
                      </c:pt>
                      <c:pt idx="6">
                        <c:v>4.695678</c:v>
                      </c:pt>
                      <c:pt idx="7">
                        <c:v>5.3708989999999996</c:v>
                      </c:pt>
                      <c:pt idx="8">
                        <c:v>5.4972760000000003</c:v>
                      </c:pt>
                      <c:pt idx="9">
                        <c:v>4.1571689999999997</c:v>
                      </c:pt>
                      <c:pt idx="10">
                        <c:v>4.3950699999999996</c:v>
                      </c:pt>
                      <c:pt idx="11">
                        <c:v>3.5804529999999999</c:v>
                      </c:pt>
                      <c:pt idx="12">
                        <c:v>3.0722160000000001</c:v>
                      </c:pt>
                      <c:pt idx="13">
                        <c:v>4.047784</c:v>
                      </c:pt>
                      <c:pt idx="14">
                        <c:v>4.8815289999999996</c:v>
                      </c:pt>
                      <c:pt idx="15">
                        <c:v>7.2342979999999999</c:v>
                      </c:pt>
                      <c:pt idx="16">
                        <c:v>11.497343000000001</c:v>
                      </c:pt>
                      <c:pt idx="17">
                        <c:v>11.216604</c:v>
                      </c:pt>
                      <c:pt idx="18">
                        <c:v>6.9827849999999998</c:v>
                      </c:pt>
                      <c:pt idx="19">
                        <c:v>7.0415270000000003</c:v>
                      </c:pt>
                      <c:pt idx="20">
                        <c:v>9.4157279999999997</c:v>
                      </c:pt>
                      <c:pt idx="21">
                        <c:v>16.035523999999999</c:v>
                      </c:pt>
                      <c:pt idx="22">
                        <c:v>16.125896000000001</c:v>
                      </c:pt>
                      <c:pt idx="23">
                        <c:v>15.409177</c:v>
                      </c:pt>
                      <c:pt idx="24">
                        <c:v>13.362054000000001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06'!$D$35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06'!$A$36:$A$60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06'!$D$36:$D$60</c:f>
              <c:numCache>
                <c:formatCode>0.000000%</c:formatCode>
                <c:ptCount val="25"/>
                <c:pt idx="0">
                  <c:v>3.9106972459711288E-7</c:v>
                </c:pt>
                <c:pt idx="1">
                  <c:v>3.8240662668343048E-7</c:v>
                </c:pt>
                <c:pt idx="2">
                  <c:v>3.3673198327525883E-7</c:v>
                </c:pt>
                <c:pt idx="3">
                  <c:v>4.9944374104064402E-7</c:v>
                </c:pt>
                <c:pt idx="4">
                  <c:v>4.0747539974345747E-7</c:v>
                </c:pt>
                <c:pt idx="5">
                  <c:v>4.7900181716929638E-7</c:v>
                </c:pt>
                <c:pt idx="6">
                  <c:v>4.4024935888563006E-7</c:v>
                </c:pt>
                <c:pt idx="7">
                  <c:v>5.4558053421309297E-7</c:v>
                </c:pt>
                <c:pt idx="8">
                  <c:v>6.3783746924807131E-7</c:v>
                </c:pt>
                <c:pt idx="9">
                  <c:v>4.1618895159922009E-7</c:v>
                </c:pt>
                <c:pt idx="10">
                  <c:v>4.475469802596667E-7</c:v>
                </c:pt>
                <c:pt idx="11">
                  <c:v>3.6560083479688553E-7</c:v>
                </c:pt>
                <c:pt idx="12">
                  <c:v>3.2446845267772116E-7</c:v>
                </c:pt>
                <c:pt idx="13">
                  <c:v>3.4574321159239136E-7</c:v>
                </c:pt>
                <c:pt idx="14">
                  <c:v>3.3305951791499997E-7</c:v>
                </c:pt>
                <c:pt idx="15">
                  <c:v>4.4494074048682715E-7</c:v>
                </c:pt>
                <c:pt idx="16">
                  <c:v>5.5431189403829053E-7</c:v>
                </c:pt>
                <c:pt idx="17">
                  <c:v>4.5972997474260285E-7</c:v>
                </c:pt>
                <c:pt idx="18">
                  <c:v>2.9863720431671049E-7</c:v>
                </c:pt>
                <c:pt idx="19">
                  <c:v>2.4533382819951406E-7</c:v>
                </c:pt>
                <c:pt idx="20">
                  <c:v>2.8071862024888127E-7</c:v>
                </c:pt>
                <c:pt idx="21">
                  <c:v>4.3379151104949414E-7</c:v>
                </c:pt>
                <c:pt idx="22">
                  <c:v>4.2415150794625164E-7</c:v>
                </c:pt>
                <c:pt idx="23">
                  <c:v>4.0720202538642599E-7</c:v>
                </c:pt>
                <c:pt idx="24">
                  <c:v>4.5747900849434298E-7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73816"/>
        <c:axId val="448073424"/>
      </c:lineChart>
      <c:catAx>
        <c:axId val="448072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3032"/>
        <c:crosses val="autoZero"/>
        <c:auto val="1"/>
        <c:lblAlgn val="ctr"/>
        <c:lblOffset val="100"/>
        <c:noMultiLvlLbl val="0"/>
      </c:catAx>
      <c:valAx>
        <c:axId val="448073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Millones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2640"/>
        <c:crosses val="autoZero"/>
        <c:crossBetween val="between"/>
      </c:valAx>
      <c:valAx>
        <c:axId val="448073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3816"/>
        <c:crosses val="max"/>
        <c:crossBetween val="between"/>
      </c:valAx>
      <c:catAx>
        <c:axId val="448073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073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06'!$C$95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06'!$A$96:$A$120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74600"/>
        <c:axId val="4480749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06'!$B$95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de Colombia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06'!$A$96:$A$120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06'!$B$96:$B$120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34.710495999999999</c:v>
                      </c:pt>
                      <c:pt idx="1">
                        <c:v>31.046907999999998</c:v>
                      </c:pt>
                      <c:pt idx="2">
                        <c:v>38.090372000000002</c:v>
                      </c:pt>
                      <c:pt idx="3">
                        <c:v>47.060023999999999</c:v>
                      </c:pt>
                      <c:pt idx="4">
                        <c:v>41.068123999999997</c:v>
                      </c:pt>
                      <c:pt idx="5">
                        <c:v>60.505304000000002</c:v>
                      </c:pt>
                      <c:pt idx="6">
                        <c:v>51.986088000000002</c:v>
                      </c:pt>
                      <c:pt idx="7">
                        <c:v>66.543272000000002</c:v>
                      </c:pt>
                      <c:pt idx="8">
                        <c:v>35.998551999999997</c:v>
                      </c:pt>
                      <c:pt idx="9">
                        <c:v>31.175438</c:v>
                      </c:pt>
                      <c:pt idx="10">
                        <c:v>34.390827000000002</c:v>
                      </c:pt>
                      <c:pt idx="11">
                        <c:v>35.354666000000002</c:v>
                      </c:pt>
                      <c:pt idx="12">
                        <c:v>56.438361</c:v>
                      </c:pt>
                      <c:pt idx="13">
                        <c:v>50.564785000000001</c:v>
                      </c:pt>
                      <c:pt idx="14">
                        <c:v>58.066253000000003</c:v>
                      </c:pt>
                      <c:pt idx="15">
                        <c:v>74.293081999999998</c:v>
                      </c:pt>
                      <c:pt idx="16">
                        <c:v>31.500926</c:v>
                      </c:pt>
                      <c:pt idx="17">
                        <c:v>38.706232</c:v>
                      </c:pt>
                      <c:pt idx="18">
                        <c:v>60.260446999999999</c:v>
                      </c:pt>
                      <c:pt idx="19">
                        <c:v>87.062790000000007</c:v>
                      </c:pt>
                      <c:pt idx="20">
                        <c:v>66.103155999999998</c:v>
                      </c:pt>
                      <c:pt idx="21">
                        <c:v>89.009129999999999</c:v>
                      </c:pt>
                      <c:pt idx="22">
                        <c:v>55.238146</c:v>
                      </c:pt>
                      <c:pt idx="23">
                        <c:v>97.503679000000005</c:v>
                      </c:pt>
                      <c:pt idx="24">
                        <c:v>81.490409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06'!$D$95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06'!$A$96:$A$120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06'!$D$96:$D$120</c:f>
              <c:numCache>
                <c:formatCode>0.000000%</c:formatCode>
                <c:ptCount val="25"/>
                <c:pt idx="0">
                  <c:v>5.6220042523189427E-7</c:v>
                </c:pt>
                <c:pt idx="1">
                  <c:v>4.7477425332592989E-7</c:v>
                </c:pt>
                <c:pt idx="2">
                  <c:v>5.5374231070382598E-7</c:v>
                </c:pt>
                <c:pt idx="3">
                  <c:v>6.4388564126174704E-7</c:v>
                </c:pt>
                <c:pt idx="4">
                  <c:v>5.3585337275543245E-7</c:v>
                </c:pt>
                <c:pt idx="5">
                  <c:v>7.4696052604126741E-7</c:v>
                </c:pt>
                <c:pt idx="6">
                  <c:v>6.0389147257105324E-7</c:v>
                </c:pt>
                <c:pt idx="7">
                  <c:v>7.3211620689594473E-7</c:v>
                </c:pt>
                <c:pt idx="8">
                  <c:v>3.7263174718320471E-7</c:v>
                </c:pt>
                <c:pt idx="9">
                  <c:v>3.0312209917198996E-7</c:v>
                </c:pt>
                <c:pt idx="10">
                  <c:v>3.2377515387187737E-7</c:v>
                </c:pt>
                <c:pt idx="11">
                  <c:v>3.2206441276230671E-7</c:v>
                </c:pt>
                <c:pt idx="12">
                  <c:v>4.9031343092973735E-7</c:v>
                </c:pt>
                <c:pt idx="13">
                  <c:v>4.1193549159718086E-7</c:v>
                </c:pt>
                <c:pt idx="14">
                  <c:v>4.4346622955146611E-7</c:v>
                </c:pt>
                <c:pt idx="15">
                  <c:v>5.361841983711185E-7</c:v>
                </c:pt>
                <c:pt idx="16">
                  <c:v>2.1758336910690179E-7</c:v>
                </c:pt>
                <c:pt idx="17">
                  <c:v>2.6297527846092781E-7</c:v>
                </c:pt>
                <c:pt idx="18">
                  <c:v>4.179314640482777E-7</c:v>
                </c:pt>
                <c:pt idx="19">
                  <c:v>5.8180049252985698E-7</c:v>
                </c:pt>
                <c:pt idx="20">
                  <c:v>4.2597932223674739E-7</c:v>
                </c:pt>
                <c:pt idx="21">
                  <c:v>5.5096084834315524E-7</c:v>
                </c:pt>
                <c:pt idx="22">
                  <c:v>3.3149862331034451E-7</c:v>
                </c:pt>
                <c:pt idx="23">
                  <c:v>5.6204333144465093E-7</c:v>
                </c:pt>
                <c:pt idx="24">
                  <c:v>4.540615543682074E-7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75776"/>
        <c:axId val="448075384"/>
      </c:lineChart>
      <c:catAx>
        <c:axId val="448074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4992"/>
        <c:crosses val="autoZero"/>
        <c:auto val="1"/>
        <c:lblAlgn val="ctr"/>
        <c:lblOffset val="100"/>
        <c:noMultiLvlLbl val="0"/>
      </c:catAx>
      <c:valAx>
        <c:axId val="44807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4600"/>
        <c:crosses val="autoZero"/>
        <c:crossBetween val="between"/>
      </c:valAx>
      <c:valAx>
        <c:axId val="448075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5776"/>
        <c:crosses val="max"/>
        <c:crossBetween val="between"/>
      </c:valAx>
      <c:catAx>
        <c:axId val="448075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075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06'!$C$124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06'!$A$125:$A$149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76560"/>
        <c:axId val="448076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06'!$B$124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06'!$A$125:$A$149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06'!$B$125:$B$149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36.323250000000002</c:v>
                      </c:pt>
                      <c:pt idx="1">
                        <c:v>32.931391999999995</c:v>
                      </c:pt>
                      <c:pt idx="2">
                        <c:v>39.969422000000002</c:v>
                      </c:pt>
                      <c:pt idx="3">
                        <c:v>51.140653999999998</c:v>
                      </c:pt>
                      <c:pt idx="4">
                        <c:v>44.837567999999997</c:v>
                      </c:pt>
                      <c:pt idx="5">
                        <c:v>65.159290999999996</c:v>
                      </c:pt>
                      <c:pt idx="6">
                        <c:v>56.681766000000003</c:v>
                      </c:pt>
                      <c:pt idx="7">
                        <c:v>71.914170999999996</c:v>
                      </c:pt>
                      <c:pt idx="8">
                        <c:v>41.495827999999996</c:v>
                      </c:pt>
                      <c:pt idx="9">
                        <c:v>35.332606999999996</c:v>
                      </c:pt>
                      <c:pt idx="10">
                        <c:v>38.785896999999999</c:v>
                      </c:pt>
                      <c:pt idx="11">
                        <c:v>38.935119</c:v>
                      </c:pt>
                      <c:pt idx="12">
                        <c:v>59.510576999999998</c:v>
                      </c:pt>
                      <c:pt idx="13">
                        <c:v>54.612569000000001</c:v>
                      </c:pt>
                      <c:pt idx="14">
                        <c:v>62.947782000000004</c:v>
                      </c:pt>
                      <c:pt idx="15">
                        <c:v>81.527379999999994</c:v>
                      </c:pt>
                      <c:pt idx="16">
                        <c:v>42.998269000000001</c:v>
                      </c:pt>
                      <c:pt idx="17">
                        <c:v>49.922836000000004</c:v>
                      </c:pt>
                      <c:pt idx="18">
                        <c:v>67.243232000000006</c:v>
                      </c:pt>
                      <c:pt idx="19">
                        <c:v>94.104317000000009</c:v>
                      </c:pt>
                      <c:pt idx="20">
                        <c:v>75.518884</c:v>
                      </c:pt>
                      <c:pt idx="21">
                        <c:v>105.04465399999999</c:v>
                      </c:pt>
                      <c:pt idx="22">
                        <c:v>71.364041999999998</c:v>
                      </c:pt>
                      <c:pt idx="23">
                        <c:v>112.912856</c:v>
                      </c:pt>
                      <c:pt idx="24">
                        <c:v>94.852463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06'!$D$124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06'!$A$125:$A$149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06'!$D$125:$D$149</c:f>
              <c:numCache>
                <c:formatCode>0.00000%</c:formatCode>
                <c:ptCount val="25"/>
                <c:pt idx="0">
                  <c:v>8.8078673957541392E-6</c:v>
                </c:pt>
                <c:pt idx="1">
                  <c:v>6.6825627209940267E-6</c:v>
                </c:pt>
                <c:pt idx="2">
                  <c:v>7.1626527981829982E-6</c:v>
                </c:pt>
                <c:pt idx="3">
                  <c:v>6.2592980870662556E-6</c:v>
                </c:pt>
                <c:pt idx="4">
                  <c:v>4.8469232980578716E-6</c:v>
                </c:pt>
                <c:pt idx="5">
                  <c:v>6.7063828915858552E-6</c:v>
                </c:pt>
                <c:pt idx="6">
                  <c:v>5.314272218411336E-6</c:v>
                </c:pt>
                <c:pt idx="7">
                  <c:v>7.3051032670083202E-6</c:v>
                </c:pt>
                <c:pt idx="8">
                  <c:v>4.8146743797970582E-6</c:v>
                </c:pt>
                <c:pt idx="9">
                  <c:v>3.537272760524594E-6</c:v>
                </c:pt>
                <c:pt idx="10">
                  <c:v>3.9495414359754149E-6</c:v>
                </c:pt>
                <c:pt idx="11">
                  <c:v>3.9756734718528833E-6</c:v>
                </c:pt>
                <c:pt idx="12">
                  <c:v>6.2851390778344955E-6</c:v>
                </c:pt>
                <c:pt idx="13">
                  <c:v>4.6647560737853283E-6</c:v>
                </c:pt>
                <c:pt idx="14">
                  <c:v>4.2948342469620717E-6</c:v>
                </c:pt>
                <c:pt idx="15">
                  <c:v>5.0142878862815647E-6</c:v>
                </c:pt>
                <c:pt idx="16">
                  <c:v>2.0730399997423675E-6</c:v>
                </c:pt>
                <c:pt idx="17">
                  <c:v>2.0461651435103804E-6</c:v>
                </c:pt>
                <c:pt idx="18">
                  <c:v>2.8758340423913907E-6</c:v>
                </c:pt>
                <c:pt idx="19">
                  <c:v>3.2786883213982719E-6</c:v>
                </c:pt>
                <c:pt idx="20">
                  <c:v>2.2515048139894564E-6</c:v>
                </c:pt>
                <c:pt idx="21">
                  <c:v>2.8416582573997135E-6</c:v>
                </c:pt>
                <c:pt idx="22">
                  <c:v>1.8770532829580219E-6</c:v>
                </c:pt>
                <c:pt idx="23">
                  <c:v>2.9838286402554701E-6</c:v>
                </c:pt>
                <c:pt idx="24">
                  <c:v>3.2474805689668933E-6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77736"/>
        <c:axId val="448077344"/>
      </c:lineChart>
      <c:catAx>
        <c:axId val="448076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6952"/>
        <c:crosses val="autoZero"/>
        <c:auto val="1"/>
        <c:lblAlgn val="ctr"/>
        <c:lblOffset val="100"/>
        <c:noMultiLvlLbl val="0"/>
      </c:catAx>
      <c:valAx>
        <c:axId val="448076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6560"/>
        <c:crosses val="autoZero"/>
        <c:crossBetween val="between"/>
        <c:majorUnit val="80000"/>
      </c:valAx>
      <c:valAx>
        <c:axId val="448077344"/>
        <c:scaling>
          <c:orientation val="minMax"/>
          <c:max val="1.0000000000000004E-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7736"/>
        <c:crosses val="max"/>
        <c:crossBetween val="between"/>
        <c:majorUnit val="2.0000000000000008E-6"/>
      </c:valAx>
      <c:catAx>
        <c:axId val="448077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077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06'!$C$153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06'!$A$154:$A$178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78520"/>
        <c:axId val="4480789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06'!$B$153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06'!$A$154:$A$178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06'!$B$154:$B$178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36.323250000000002</c:v>
                      </c:pt>
                      <c:pt idx="1">
                        <c:v>32.931391999999995</c:v>
                      </c:pt>
                      <c:pt idx="2">
                        <c:v>39.969422000000002</c:v>
                      </c:pt>
                      <c:pt idx="3">
                        <c:v>51.140653999999998</c:v>
                      </c:pt>
                      <c:pt idx="4">
                        <c:v>44.837567999999997</c:v>
                      </c:pt>
                      <c:pt idx="5">
                        <c:v>65.159290999999996</c:v>
                      </c:pt>
                      <c:pt idx="6">
                        <c:v>56.681766000000003</c:v>
                      </c:pt>
                      <c:pt idx="7">
                        <c:v>71.914170999999996</c:v>
                      </c:pt>
                      <c:pt idx="8">
                        <c:v>41.495827999999996</c:v>
                      </c:pt>
                      <c:pt idx="9">
                        <c:v>35.332606999999996</c:v>
                      </c:pt>
                      <c:pt idx="10">
                        <c:v>38.785896999999999</c:v>
                      </c:pt>
                      <c:pt idx="11">
                        <c:v>38.935119</c:v>
                      </c:pt>
                      <c:pt idx="12">
                        <c:v>59.510576999999998</c:v>
                      </c:pt>
                      <c:pt idx="13">
                        <c:v>54.612569000000001</c:v>
                      </c:pt>
                      <c:pt idx="14">
                        <c:v>62.947782000000004</c:v>
                      </c:pt>
                      <c:pt idx="15">
                        <c:v>81.527379999999994</c:v>
                      </c:pt>
                      <c:pt idx="16">
                        <c:v>42.998269000000001</c:v>
                      </c:pt>
                      <c:pt idx="17">
                        <c:v>49.922836000000004</c:v>
                      </c:pt>
                      <c:pt idx="18">
                        <c:v>67.243232000000006</c:v>
                      </c:pt>
                      <c:pt idx="19">
                        <c:v>94.104317000000009</c:v>
                      </c:pt>
                      <c:pt idx="20">
                        <c:v>75.518884</c:v>
                      </c:pt>
                      <c:pt idx="21">
                        <c:v>105.04465399999999</c:v>
                      </c:pt>
                      <c:pt idx="22">
                        <c:v>71.364041999999998</c:v>
                      </c:pt>
                      <c:pt idx="23">
                        <c:v>112.912856</c:v>
                      </c:pt>
                      <c:pt idx="24">
                        <c:v>94.852463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06'!$D$153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06'!$A$154:$A$178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06'!$D$154:$D$178</c:f>
              <c:numCache>
                <c:formatCode>0.000000%</c:formatCode>
                <c:ptCount val="25"/>
                <c:pt idx="0">
                  <c:v>5.8832194722323779E-7</c:v>
                </c:pt>
                <c:pt idx="1">
                  <c:v>5.0359208227059188E-7</c:v>
                </c:pt>
                <c:pt idx="2">
                  <c:v>5.8105917410773344E-7</c:v>
                </c:pt>
                <c:pt idx="3">
                  <c:v>6.9971772210178071E-7</c:v>
                </c:pt>
                <c:pt idx="4">
                  <c:v>5.8503675597529241E-7</c:v>
                </c:pt>
                <c:pt idx="5">
                  <c:v>8.0441572993065232E-7</c:v>
                </c:pt>
                <c:pt idx="6">
                  <c:v>6.5843837177492289E-7</c:v>
                </c:pt>
                <c:pt idx="7">
                  <c:v>7.9120741304374612E-7</c:v>
                </c:pt>
                <c:pt idx="8">
                  <c:v>4.2953569044815322E-7</c:v>
                </c:pt>
                <c:pt idx="9">
                  <c:v>3.4354269547260076E-7</c:v>
                </c:pt>
                <c:pt idx="10">
                  <c:v>3.651528871124206E-7</c:v>
                </c:pt>
                <c:pt idx="11">
                  <c:v>3.5468065902717139E-7</c:v>
                </c:pt>
                <c:pt idx="12">
                  <c:v>5.1700358884408991E-7</c:v>
                </c:pt>
                <c:pt idx="13">
                  <c:v>4.4491152208795028E-7</c:v>
                </c:pt>
                <c:pt idx="14">
                  <c:v>4.8074766495037394E-7</c:v>
                </c:pt>
                <c:pt idx="15">
                  <c:v>5.8839520065404677E-7</c:v>
                </c:pt>
                <c:pt idx="16">
                  <c:v>2.9699787983327386E-7</c:v>
                </c:pt>
                <c:pt idx="17">
                  <c:v>3.3918237504129136E-7</c:v>
                </c:pt>
                <c:pt idx="18">
                  <c:v>4.6636000554556129E-7</c:v>
                </c:pt>
                <c:pt idx="19">
                  <c:v>6.2885577156194738E-7</c:v>
                </c:pt>
                <c:pt idx="20">
                  <c:v>4.8665578119137835E-7</c:v>
                </c:pt>
                <c:pt idx="21">
                  <c:v>6.5021972107527857E-7</c:v>
                </c:pt>
                <c:pt idx="22">
                  <c:v>4.2827436092553871E-7</c:v>
                </c:pt>
                <c:pt idx="23">
                  <c:v>6.5086690471618139E-7</c:v>
                </c:pt>
                <c:pt idx="24">
                  <c:v>5.2851442659261752E-7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79696"/>
        <c:axId val="448079304"/>
      </c:lineChart>
      <c:catAx>
        <c:axId val="448078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8912"/>
        <c:crosses val="autoZero"/>
        <c:auto val="1"/>
        <c:lblAlgn val="ctr"/>
        <c:lblOffset val="100"/>
        <c:noMultiLvlLbl val="0"/>
      </c:catAx>
      <c:valAx>
        <c:axId val="44807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8520"/>
        <c:crosses val="autoZero"/>
        <c:crossBetween val="between"/>
        <c:majorUnit val="4000"/>
      </c:valAx>
      <c:valAx>
        <c:axId val="4480793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79696"/>
        <c:crosses val="max"/>
        <c:crossBetween val="between"/>
      </c:valAx>
      <c:catAx>
        <c:axId val="448079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079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06'!$D$183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06'!$A$184:$A$208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80480"/>
        <c:axId val="448080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06'!$B$183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06'!$A$184:$A$208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06'!$B$184:$B$208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36.323250000000002</c:v>
                      </c:pt>
                      <c:pt idx="1">
                        <c:v>32.931391999999995</c:v>
                      </c:pt>
                      <c:pt idx="2">
                        <c:v>39.969422000000002</c:v>
                      </c:pt>
                      <c:pt idx="3">
                        <c:v>51.140653999999998</c:v>
                      </c:pt>
                      <c:pt idx="4">
                        <c:v>44.837567999999997</c:v>
                      </c:pt>
                      <c:pt idx="5">
                        <c:v>65.159290999999996</c:v>
                      </c:pt>
                      <c:pt idx="6">
                        <c:v>56.681766000000003</c:v>
                      </c:pt>
                      <c:pt idx="7">
                        <c:v>71.914170999999996</c:v>
                      </c:pt>
                      <c:pt idx="8">
                        <c:v>41.495827999999996</c:v>
                      </c:pt>
                      <c:pt idx="9">
                        <c:v>35.332606999999996</c:v>
                      </c:pt>
                      <c:pt idx="10">
                        <c:v>38.785896999999999</c:v>
                      </c:pt>
                      <c:pt idx="11">
                        <c:v>38.935119</c:v>
                      </c:pt>
                      <c:pt idx="12">
                        <c:v>59.510576999999998</c:v>
                      </c:pt>
                      <c:pt idx="13">
                        <c:v>54.612569000000001</c:v>
                      </c:pt>
                      <c:pt idx="14">
                        <c:v>62.947782000000004</c:v>
                      </c:pt>
                      <c:pt idx="15">
                        <c:v>81.527379999999994</c:v>
                      </c:pt>
                      <c:pt idx="16">
                        <c:v>42.998269000000001</c:v>
                      </c:pt>
                      <c:pt idx="17">
                        <c:v>49.922836000000004</c:v>
                      </c:pt>
                      <c:pt idx="18">
                        <c:v>67.243232000000006</c:v>
                      </c:pt>
                      <c:pt idx="19">
                        <c:v>94.104317000000009</c:v>
                      </c:pt>
                      <c:pt idx="20">
                        <c:v>75.518884</c:v>
                      </c:pt>
                      <c:pt idx="21">
                        <c:v>105.04465399999999</c:v>
                      </c:pt>
                      <c:pt idx="22">
                        <c:v>71.364041999999998</c:v>
                      </c:pt>
                      <c:pt idx="23">
                        <c:v>112.912856</c:v>
                      </c:pt>
                      <c:pt idx="24">
                        <c:v>94.852463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06'!$C$183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06'!$A$184:$A$208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06'!$C$184:$C$208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18.161625000000001</c:v>
                      </c:pt>
                      <c:pt idx="1">
                        <c:v>16.465695999999998</c:v>
                      </c:pt>
                      <c:pt idx="2">
                        <c:v>19.984711000000001</c:v>
                      </c:pt>
                      <c:pt idx="3">
                        <c:v>25.570326999999999</c:v>
                      </c:pt>
                      <c:pt idx="4">
                        <c:v>22.418783999999999</c:v>
                      </c:pt>
                      <c:pt idx="5">
                        <c:v>32.579645499999998</c:v>
                      </c:pt>
                      <c:pt idx="6">
                        <c:v>28.340883000000002</c:v>
                      </c:pt>
                      <c:pt idx="7">
                        <c:v>35.957085499999998</c:v>
                      </c:pt>
                      <c:pt idx="8">
                        <c:v>20.747913999999998</c:v>
                      </c:pt>
                      <c:pt idx="9">
                        <c:v>17.666303499999998</c:v>
                      </c:pt>
                      <c:pt idx="10">
                        <c:v>19.392948499999999</c:v>
                      </c:pt>
                      <c:pt idx="11">
                        <c:v>19.4675595</c:v>
                      </c:pt>
                      <c:pt idx="12">
                        <c:v>29.755288499999999</c:v>
                      </c:pt>
                      <c:pt idx="13">
                        <c:v>27.3062845</c:v>
                      </c:pt>
                      <c:pt idx="14">
                        <c:v>31.473891000000002</c:v>
                      </c:pt>
                      <c:pt idx="15">
                        <c:v>40.763689999999997</c:v>
                      </c:pt>
                      <c:pt idx="16">
                        <c:v>21.4991345</c:v>
                      </c:pt>
                      <c:pt idx="17">
                        <c:v>24.961418000000002</c:v>
                      </c:pt>
                      <c:pt idx="18">
                        <c:v>33.621616000000003</c:v>
                      </c:pt>
                      <c:pt idx="19">
                        <c:v>47.052158500000004</c:v>
                      </c:pt>
                      <c:pt idx="20">
                        <c:v>37.759442</c:v>
                      </c:pt>
                      <c:pt idx="21">
                        <c:v>52.522326999999997</c:v>
                      </c:pt>
                      <c:pt idx="22">
                        <c:v>35.682020999999999</c:v>
                      </c:pt>
                      <c:pt idx="23">
                        <c:v>56.456428000000002</c:v>
                      </c:pt>
                      <c:pt idx="24">
                        <c:v>47.4262315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06'!$E$183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06'!$A$184:$A$208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06'!$E$184:$E$208</c:f>
              <c:numCache>
                <c:formatCode>0.00000%</c:formatCode>
                <c:ptCount val="25"/>
                <c:pt idx="0">
                  <c:v>4.4039336978770696E-6</c:v>
                </c:pt>
                <c:pt idx="1">
                  <c:v>3.3412813604970133E-6</c:v>
                </c:pt>
                <c:pt idx="2">
                  <c:v>3.5813263990914991E-6</c:v>
                </c:pt>
                <c:pt idx="3">
                  <c:v>3.1296490435331278E-6</c:v>
                </c:pt>
                <c:pt idx="4">
                  <c:v>2.4234616490289358E-6</c:v>
                </c:pt>
                <c:pt idx="5">
                  <c:v>3.3531914457929276E-6</c:v>
                </c:pt>
                <c:pt idx="6">
                  <c:v>2.657136109205668E-6</c:v>
                </c:pt>
                <c:pt idx="7">
                  <c:v>3.6525516335041605E-6</c:v>
                </c:pt>
                <c:pt idx="8">
                  <c:v>2.4073371898985291E-6</c:v>
                </c:pt>
                <c:pt idx="9">
                  <c:v>1.768636380262297E-6</c:v>
                </c:pt>
                <c:pt idx="10">
                  <c:v>1.9747707179877074E-6</c:v>
                </c:pt>
                <c:pt idx="11">
                  <c:v>1.9878367359264417E-6</c:v>
                </c:pt>
                <c:pt idx="12">
                  <c:v>3.1425695389172478E-6</c:v>
                </c:pt>
                <c:pt idx="13">
                  <c:v>2.3323780368926641E-6</c:v>
                </c:pt>
                <c:pt idx="14">
                  <c:v>2.1474171234810359E-6</c:v>
                </c:pt>
                <c:pt idx="15">
                  <c:v>2.5071439431407819E-6</c:v>
                </c:pt>
                <c:pt idx="16">
                  <c:v>1.0365199998711837E-6</c:v>
                </c:pt>
                <c:pt idx="17">
                  <c:v>1.0230825717551902E-6</c:v>
                </c:pt>
                <c:pt idx="18">
                  <c:v>1.4379170211956954E-6</c:v>
                </c:pt>
                <c:pt idx="19">
                  <c:v>1.6393441606991359E-6</c:v>
                </c:pt>
                <c:pt idx="20">
                  <c:v>1.1257524069947282E-6</c:v>
                </c:pt>
                <c:pt idx="21">
                  <c:v>1.4208291286998567E-6</c:v>
                </c:pt>
                <c:pt idx="22">
                  <c:v>9.3852664147901107E-7</c:v>
                </c:pt>
                <c:pt idx="23">
                  <c:v>1.491914320127735E-6</c:v>
                </c:pt>
                <c:pt idx="24">
                  <c:v>1.6237402844834464E-6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81656"/>
        <c:axId val="448081264"/>
      </c:lineChart>
      <c:catAx>
        <c:axId val="44808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80872"/>
        <c:crosses val="autoZero"/>
        <c:auto val="1"/>
        <c:lblAlgn val="ctr"/>
        <c:lblOffset val="100"/>
        <c:noMultiLvlLbl val="0"/>
      </c:catAx>
      <c:valAx>
        <c:axId val="44808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80480"/>
        <c:crosses val="autoZero"/>
        <c:crossBetween val="between"/>
        <c:majorUnit val="80000"/>
      </c:valAx>
      <c:valAx>
        <c:axId val="448081264"/>
        <c:scaling>
          <c:orientation val="minMax"/>
          <c:max val="5.0000000000000021E-6"/>
          <c:min val="0"/>
        </c:scaling>
        <c:delete val="0"/>
        <c:axPos val="r"/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81656"/>
        <c:crosses val="max"/>
        <c:crossBetween val="between"/>
        <c:majorUnit val="1.0000000000000004E-6"/>
      </c:valAx>
      <c:catAx>
        <c:axId val="448081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08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06'!$D$212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06'!$A$213:$A$237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061816"/>
        <c:axId val="2810622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06'!$B$212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06'!$A$213:$A$237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06'!$B$213:$B$237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36.323250000000002</c:v>
                      </c:pt>
                      <c:pt idx="1">
                        <c:v>32.931391999999995</c:v>
                      </c:pt>
                      <c:pt idx="2">
                        <c:v>39.969422000000002</c:v>
                      </c:pt>
                      <c:pt idx="3">
                        <c:v>51.140653999999998</c:v>
                      </c:pt>
                      <c:pt idx="4">
                        <c:v>44.837567999999997</c:v>
                      </c:pt>
                      <c:pt idx="5">
                        <c:v>65.159290999999996</c:v>
                      </c:pt>
                      <c:pt idx="6">
                        <c:v>56.681766000000003</c:v>
                      </c:pt>
                      <c:pt idx="7">
                        <c:v>71.914170999999996</c:v>
                      </c:pt>
                      <c:pt idx="8">
                        <c:v>41.495827999999996</c:v>
                      </c:pt>
                      <c:pt idx="9">
                        <c:v>35.332606999999996</c:v>
                      </c:pt>
                      <c:pt idx="10">
                        <c:v>38.785896999999999</c:v>
                      </c:pt>
                      <c:pt idx="11">
                        <c:v>38.935119</c:v>
                      </c:pt>
                      <c:pt idx="12">
                        <c:v>59.510576999999998</c:v>
                      </c:pt>
                      <c:pt idx="13">
                        <c:v>54.612569000000001</c:v>
                      </c:pt>
                      <c:pt idx="14">
                        <c:v>62.947782000000004</c:v>
                      </c:pt>
                      <c:pt idx="15">
                        <c:v>81.527379999999994</c:v>
                      </c:pt>
                      <c:pt idx="16">
                        <c:v>42.998269000000001</c:v>
                      </c:pt>
                      <c:pt idx="17">
                        <c:v>49.922836000000004</c:v>
                      </c:pt>
                      <c:pt idx="18">
                        <c:v>67.243232000000006</c:v>
                      </c:pt>
                      <c:pt idx="19">
                        <c:v>94.104317000000009</c:v>
                      </c:pt>
                      <c:pt idx="20">
                        <c:v>75.518884</c:v>
                      </c:pt>
                      <c:pt idx="21">
                        <c:v>105.04465399999999</c:v>
                      </c:pt>
                      <c:pt idx="22">
                        <c:v>71.364041999999998</c:v>
                      </c:pt>
                      <c:pt idx="23">
                        <c:v>112.912856</c:v>
                      </c:pt>
                      <c:pt idx="24">
                        <c:v>94.852463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06'!$C$212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06'!$A$213:$A$237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06'!$C$213:$C$237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18.161625000000001</c:v>
                      </c:pt>
                      <c:pt idx="1">
                        <c:v>16.465695999999998</c:v>
                      </c:pt>
                      <c:pt idx="2">
                        <c:v>19.984711000000001</c:v>
                      </c:pt>
                      <c:pt idx="3">
                        <c:v>25.570326999999999</c:v>
                      </c:pt>
                      <c:pt idx="4">
                        <c:v>22.418783999999999</c:v>
                      </c:pt>
                      <c:pt idx="5">
                        <c:v>32.579645499999998</c:v>
                      </c:pt>
                      <c:pt idx="6">
                        <c:v>28.340883000000002</c:v>
                      </c:pt>
                      <c:pt idx="7">
                        <c:v>35.957085499999998</c:v>
                      </c:pt>
                      <c:pt idx="8">
                        <c:v>20.747913999999998</c:v>
                      </c:pt>
                      <c:pt idx="9">
                        <c:v>17.666303499999998</c:v>
                      </c:pt>
                      <c:pt idx="10">
                        <c:v>19.392948499999999</c:v>
                      </c:pt>
                      <c:pt idx="11">
                        <c:v>19.4675595</c:v>
                      </c:pt>
                      <c:pt idx="12">
                        <c:v>29.755288499999999</c:v>
                      </c:pt>
                      <c:pt idx="13">
                        <c:v>27.3062845</c:v>
                      </c:pt>
                      <c:pt idx="14">
                        <c:v>31.473891000000002</c:v>
                      </c:pt>
                      <c:pt idx="15">
                        <c:v>40.763689999999997</c:v>
                      </c:pt>
                      <c:pt idx="16">
                        <c:v>21.4991345</c:v>
                      </c:pt>
                      <c:pt idx="17">
                        <c:v>24.961418000000002</c:v>
                      </c:pt>
                      <c:pt idx="18">
                        <c:v>33.621616000000003</c:v>
                      </c:pt>
                      <c:pt idx="19">
                        <c:v>47.052158500000004</c:v>
                      </c:pt>
                      <c:pt idx="20">
                        <c:v>37.759442</c:v>
                      </c:pt>
                      <c:pt idx="21">
                        <c:v>52.522326999999997</c:v>
                      </c:pt>
                      <c:pt idx="22">
                        <c:v>35.682020999999999</c:v>
                      </c:pt>
                      <c:pt idx="23">
                        <c:v>56.456428000000002</c:v>
                      </c:pt>
                      <c:pt idx="24">
                        <c:v>47.4262315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06'!$E$212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06'!$A$213:$A$237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06'!$E$213:$E$237</c:f>
              <c:numCache>
                <c:formatCode>0.000000%</c:formatCode>
                <c:ptCount val="25"/>
                <c:pt idx="0">
                  <c:v>2.941609736116189E-7</c:v>
                </c:pt>
                <c:pt idx="1">
                  <c:v>2.5179604113529594E-7</c:v>
                </c:pt>
                <c:pt idx="2">
                  <c:v>2.9052958705386672E-7</c:v>
                </c:pt>
                <c:pt idx="3">
                  <c:v>3.4985886105089036E-7</c:v>
                </c:pt>
                <c:pt idx="4">
                  <c:v>2.925183779876462E-7</c:v>
                </c:pt>
                <c:pt idx="5">
                  <c:v>4.0220786496532616E-7</c:v>
                </c:pt>
                <c:pt idx="6">
                  <c:v>3.2921918588746145E-7</c:v>
                </c:pt>
                <c:pt idx="7">
                  <c:v>3.9560370652187306E-7</c:v>
                </c:pt>
                <c:pt idx="8">
                  <c:v>2.1476784522407661E-7</c:v>
                </c:pt>
                <c:pt idx="9">
                  <c:v>1.7177134773630038E-7</c:v>
                </c:pt>
                <c:pt idx="10">
                  <c:v>1.825764435562103E-7</c:v>
                </c:pt>
                <c:pt idx="11">
                  <c:v>1.773403295135857E-7</c:v>
                </c:pt>
                <c:pt idx="12">
                  <c:v>2.5850179442204495E-7</c:v>
                </c:pt>
                <c:pt idx="13">
                  <c:v>2.2245576104397514E-7</c:v>
                </c:pt>
                <c:pt idx="14">
                  <c:v>2.4037383247518697E-7</c:v>
                </c:pt>
                <c:pt idx="15">
                  <c:v>2.9419760032702338E-7</c:v>
                </c:pt>
                <c:pt idx="16">
                  <c:v>1.4849893991663693E-7</c:v>
                </c:pt>
                <c:pt idx="17">
                  <c:v>1.6959118752064568E-7</c:v>
                </c:pt>
                <c:pt idx="18">
                  <c:v>2.3318000277278064E-7</c:v>
                </c:pt>
                <c:pt idx="19">
                  <c:v>3.1442788578097369E-7</c:v>
                </c:pt>
                <c:pt idx="20">
                  <c:v>2.4332789059568917E-7</c:v>
                </c:pt>
                <c:pt idx="21">
                  <c:v>3.2510986053763929E-7</c:v>
                </c:pt>
                <c:pt idx="22">
                  <c:v>2.1413718046276935E-7</c:v>
                </c:pt>
                <c:pt idx="23">
                  <c:v>3.2543345235809069E-7</c:v>
                </c:pt>
                <c:pt idx="24">
                  <c:v>2.6425721329630876E-7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062992"/>
        <c:axId val="281062600"/>
      </c:lineChart>
      <c:catAx>
        <c:axId val="281061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2208"/>
        <c:crosses val="autoZero"/>
        <c:auto val="1"/>
        <c:lblAlgn val="ctr"/>
        <c:lblOffset val="100"/>
        <c:noMultiLvlLbl val="0"/>
      </c:catAx>
      <c:valAx>
        <c:axId val="28106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1816"/>
        <c:crosses val="autoZero"/>
        <c:crossBetween val="between"/>
        <c:majorUnit val="4000"/>
      </c:valAx>
      <c:valAx>
        <c:axId val="281062600"/>
        <c:scaling>
          <c:orientation val="minMax"/>
        </c:scaling>
        <c:delete val="0"/>
        <c:axPos val="r"/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2992"/>
        <c:crosses val="max"/>
        <c:crossBetween val="between"/>
      </c:valAx>
      <c:catAx>
        <c:axId val="281062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10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06'!$D$5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06'!$D$6:$D$30</c:f>
              <c:numCache>
                <c:formatCode>"$"\ #,##0.00000</c:formatCode>
                <c:ptCount val="25"/>
                <c:pt idx="0">
                  <c:v>0.99655262604086003</c:v>
                </c:pt>
                <c:pt idx="1">
                  <c:v>0.87404522515451444</c:v>
                </c:pt>
                <c:pt idx="2">
                  <c:v>1.0520136543354968</c:v>
                </c:pt>
                <c:pt idx="3">
                  <c:v>1.2769345338031344</c:v>
                </c:pt>
                <c:pt idx="4">
                  <c:v>1.0959629147850043</c:v>
                </c:pt>
                <c:pt idx="5">
                  <c:v>1.5893985638875645</c:v>
                </c:pt>
                <c:pt idx="6">
                  <c:v>1.3455457028062472</c:v>
                </c:pt>
                <c:pt idx="7">
                  <c:v>1.6982058395808788</c:v>
                </c:pt>
                <c:pt idx="8">
                  <c:v>0.90606164014123247</c:v>
                </c:pt>
                <c:pt idx="9">
                  <c:v>0.77366924988738839</c:v>
                </c:pt>
                <c:pt idx="10">
                  <c:v>0.84263276739452719</c:v>
                </c:pt>
                <c:pt idx="11">
                  <c:v>0.8554481492142143</c:v>
                </c:pt>
                <c:pt idx="12">
                  <c:v>1.3486204280493572</c:v>
                </c:pt>
                <c:pt idx="13">
                  <c:v>1.1934526388231594</c:v>
                </c:pt>
                <c:pt idx="14">
                  <c:v>1.3538857372608548</c:v>
                </c:pt>
                <c:pt idx="15">
                  <c:v>1.7115872761793336</c:v>
                </c:pt>
                <c:pt idx="16">
                  <c:v>0.71712106257189068</c:v>
                </c:pt>
                <c:pt idx="17">
                  <c:v>0.87075890302673176</c:v>
                </c:pt>
                <c:pt idx="18">
                  <c:v>1.339751263438766</c:v>
                </c:pt>
                <c:pt idx="19">
                  <c:v>1.9130649491324729</c:v>
                </c:pt>
                <c:pt idx="20">
                  <c:v>1.4356331592492244</c:v>
                </c:pt>
                <c:pt idx="21">
                  <c:v>1.9108125072734916</c:v>
                </c:pt>
                <c:pt idx="22">
                  <c:v>1.1722595375501614</c:v>
                </c:pt>
                <c:pt idx="23">
                  <c:v>2.0457411510818928</c:v>
                </c:pt>
                <c:pt idx="24">
                  <c:v>1.6905529598998246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06'!$D$35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06'!$D$36:$D$60</c:f>
              <c:numCache>
                <c:formatCode>"$"\ #,##0.0000</c:formatCode>
                <c:ptCount val="25"/>
                <c:pt idx="0">
                  <c:v>4.630283110497474E-2</c:v>
                </c:pt>
                <c:pt idx="1">
                  <c:v>5.3052762680266909E-2</c:v>
                </c:pt>
                <c:pt idx="2">
                  <c:v>5.1897268348524275E-2</c:v>
                </c:pt>
                <c:pt idx="3">
                  <c:v>0.11072449445994938</c:v>
                </c:pt>
                <c:pt idx="4">
                  <c:v>0.10059312262130224</c:v>
                </c:pt>
                <c:pt idx="5">
                  <c:v>0.12225441019437559</c:v>
                </c:pt>
                <c:pt idx="6">
                  <c:v>0.12153731118721289</c:v>
                </c:pt>
                <c:pt idx="7">
                  <c:v>0.13706708088533881</c:v>
                </c:pt>
                <c:pt idx="8">
                  <c:v>0.13836309051733622</c:v>
                </c:pt>
                <c:pt idx="9">
                  <c:v>0.10316691691340805</c:v>
                </c:pt>
                <c:pt idx="10">
                  <c:v>0.10768656412341188</c:v>
                </c:pt>
                <c:pt idx="11">
                  <c:v>8.6633314318355636E-2</c:v>
                </c:pt>
                <c:pt idx="12">
                  <c:v>7.3412005302210745E-2</c:v>
                </c:pt>
                <c:pt idx="13">
                  <c:v>9.5537605790001146E-2</c:v>
                </c:pt>
                <c:pt idx="14">
                  <c:v>0.11381882156448501</c:v>
                </c:pt>
                <c:pt idx="15">
                  <c:v>0.1666660215939029</c:v>
                </c:pt>
                <c:pt idx="16">
                  <c:v>0.26173791935238633</c:v>
                </c:pt>
                <c:pt idx="17">
                  <c:v>0.25233553590866847</c:v>
                </c:pt>
                <c:pt idx="18">
                  <c:v>0.15524602773144489</c:v>
                </c:pt>
                <c:pt idx="19">
                  <c:v>0.15472624403686044</c:v>
                </c:pt>
                <c:pt idx="20">
                  <c:v>0.20449146687143624</c:v>
                </c:pt>
                <c:pt idx="21">
                  <c:v>0.34424423449464397</c:v>
                </c:pt>
                <c:pt idx="22">
                  <c:v>0.34222248131829042</c:v>
                </c:pt>
                <c:pt idx="23">
                  <c:v>0.32330254423737825</c:v>
                </c:pt>
                <c:pt idx="24">
                  <c:v>0.27720145495945775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06'!$D$64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06'!$D$65:$D$89</c:f>
              <c:numCache>
                <c:formatCode>"$"\ #,##0.00</c:formatCode>
                <c:ptCount val="25"/>
                <c:pt idx="0">
                  <c:v>1.0428554571458348</c:v>
                </c:pt>
                <c:pt idx="1">
                  <c:v>0.92709798783478126</c:v>
                </c:pt>
                <c:pt idx="2">
                  <c:v>1.1039109226840211</c:v>
                </c:pt>
                <c:pt idx="3">
                  <c:v>1.3876590282630836</c:v>
                </c:pt>
                <c:pt idx="4">
                  <c:v>1.1965560374063064</c:v>
                </c:pt>
                <c:pt idx="5">
                  <c:v>1.7116529740819399</c:v>
                </c:pt>
                <c:pt idx="6">
                  <c:v>1.4670830139934601</c:v>
                </c:pt>
                <c:pt idx="7">
                  <c:v>1.8352729204662173</c:v>
                </c:pt>
                <c:pt idx="8">
                  <c:v>1.0444247306585686</c:v>
                </c:pt>
                <c:pt idx="9">
                  <c:v>0.87683616680079635</c:v>
                </c:pt>
                <c:pt idx="10">
                  <c:v>0.95031933151793913</c:v>
                </c:pt>
                <c:pt idx="11">
                  <c:v>0.94208146353256994</c:v>
                </c:pt>
                <c:pt idx="12">
                  <c:v>1.4220324333515679</c:v>
                </c:pt>
                <c:pt idx="13">
                  <c:v>1.2889902446131605</c:v>
                </c:pt>
                <c:pt idx="14">
                  <c:v>1.4677045588253399</c:v>
                </c:pt>
                <c:pt idx="15">
                  <c:v>1.8782532977732362</c:v>
                </c:pt>
                <c:pt idx="16">
                  <c:v>0.97885898192427712</c:v>
                </c:pt>
                <c:pt idx="17">
                  <c:v>1.1230944389354003</c:v>
                </c:pt>
                <c:pt idx="18">
                  <c:v>1.494997291170211</c:v>
                </c:pt>
                <c:pt idx="19">
                  <c:v>2.0677911931693336</c:v>
                </c:pt>
                <c:pt idx="20">
                  <c:v>1.6401246261206606</c:v>
                </c:pt>
                <c:pt idx="21">
                  <c:v>2.2550567417681355</c:v>
                </c:pt>
                <c:pt idx="22">
                  <c:v>1.514482018868452</c:v>
                </c:pt>
                <c:pt idx="23">
                  <c:v>2.3690436953192711</c:v>
                </c:pt>
                <c:pt idx="24">
                  <c:v>1.9677544148592823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063776"/>
        <c:axId val="281064168"/>
      </c:lineChart>
      <c:catAx>
        <c:axId val="281063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4168"/>
        <c:crosses val="autoZero"/>
        <c:auto val="1"/>
        <c:lblAlgn val="ctr"/>
        <c:lblOffset val="100"/>
        <c:noMultiLvlLbl val="0"/>
      </c:catAx>
      <c:valAx>
        <c:axId val="28106416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37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06'!$D$96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06'!$D$97:$D$121</c:f>
              <c:numCache>
                <c:formatCode>"$"\ #,##0.00</c:formatCode>
                <c:ptCount val="25"/>
                <c:pt idx="0">
                  <c:v>6.3589385695134457E-3</c:v>
                </c:pt>
                <c:pt idx="1">
                  <c:v>7.3464579207534811E-3</c:v>
                </c:pt>
                <c:pt idx="2">
                  <c:v>7.2513516329578481E-3</c:v>
                </c:pt>
                <c:pt idx="3">
                  <c:v>1.5453361155187629E-2</c:v>
                </c:pt>
                <c:pt idx="4">
                  <c:v>1.4149670793324274E-2</c:v>
                </c:pt>
                <c:pt idx="5">
                  <c:v>1.7305570222734542E-2</c:v>
                </c:pt>
                <c:pt idx="6">
                  <c:v>1.730251633276465E-2</c:v>
                </c:pt>
                <c:pt idx="7">
                  <c:v>1.9776198156003295E-2</c:v>
                </c:pt>
                <c:pt idx="8">
                  <c:v>2.0061293901264123E-2</c:v>
                </c:pt>
                <c:pt idx="9">
                  <c:v>1.4588146979027942E-2</c:v>
                </c:pt>
                <c:pt idx="10">
                  <c:v>1.5280546026439343E-2</c:v>
                </c:pt>
                <c:pt idx="11">
                  <c:v>1.2341796251397233E-2</c:v>
                </c:pt>
                <c:pt idx="12">
                  <c:v>1.0492351132253079E-2</c:v>
                </c:pt>
                <c:pt idx="13">
                  <c:v>1.3697315188714662E-2</c:v>
                </c:pt>
                <c:pt idx="14">
                  <c:v>1.6360112741101687E-2</c:v>
                </c:pt>
                <c:pt idx="15">
                  <c:v>2.4015765405076373E-2</c:v>
                </c:pt>
                <c:pt idx="16">
                  <c:v>3.7808520672850184E-2</c:v>
                </c:pt>
                <c:pt idx="17">
                  <c:v>3.6563380039090917E-2</c:v>
                </c:pt>
                <c:pt idx="18">
                  <c:v>2.2616634543881246E-2</c:v>
                </c:pt>
                <c:pt idx="19">
                  <c:v>2.2762547244792441E-2</c:v>
                </c:pt>
                <c:pt idx="20">
                  <c:v>3.0205564944559254E-2</c:v>
                </c:pt>
                <c:pt idx="21">
                  <c:v>5.1050326055911803E-2</c:v>
                </c:pt>
                <c:pt idx="22">
                  <c:v>5.095109572908485E-2</c:v>
                </c:pt>
                <c:pt idx="23">
                  <c:v>4.8326285117554373E-2</c:v>
                </c:pt>
                <c:pt idx="24">
                  <c:v>4.157209587167298E-2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06'!$D$126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06'!$D$127:$D$151</c:f>
              <c:numCache>
                <c:formatCode>"$"\ #,##0.0000</c:formatCode>
                <c:ptCount val="25"/>
                <c:pt idx="0">
                  <c:v>0.13686024761454144</c:v>
                </c:pt>
                <c:pt idx="1">
                  <c:v>0.12103302717959113</c:v>
                </c:pt>
                <c:pt idx="2">
                  <c:v>0.14699272568700772</c:v>
                </c:pt>
                <c:pt idx="3">
                  <c:v>0.17821648785697244</c:v>
                </c:pt>
                <c:pt idx="4">
                  <c:v>0.15416078198785277</c:v>
                </c:pt>
                <c:pt idx="5">
                  <c:v>0.22498532703677537</c:v>
                </c:pt>
                <c:pt idx="6">
                  <c:v>0.19155703110318476</c:v>
                </c:pt>
                <c:pt idx="7">
                  <c:v>0.24501911747378344</c:v>
                </c:pt>
                <c:pt idx="8">
                  <c:v>0.13137006977491023</c:v>
                </c:pt>
                <c:pt idx="9">
                  <c:v>0.1093994186138627</c:v>
                </c:pt>
                <c:pt idx="10">
                  <c:v>0.11956820138491832</c:v>
                </c:pt>
                <c:pt idx="11">
                  <c:v>0.12186728447718802</c:v>
                </c:pt>
                <c:pt idx="12">
                  <c:v>0.19275047748623728</c:v>
                </c:pt>
                <c:pt idx="13">
                  <c:v>0.17110641219852427</c:v>
                </c:pt>
                <c:pt idx="14">
                  <c:v>0.19460510129783803</c:v>
                </c:pt>
                <c:pt idx="15">
                  <c:v>0.24663142554151105</c:v>
                </c:pt>
                <c:pt idx="16">
                  <c:v>0.10358944774326762</c:v>
                </c:pt>
                <c:pt idx="17">
                  <c:v>0.12617283007381042</c:v>
                </c:pt>
                <c:pt idx="18">
                  <c:v>0.1951783575249596</c:v>
                </c:pt>
                <c:pt idx="19">
                  <c:v>0.28144049872114996</c:v>
                </c:pt>
                <c:pt idx="20">
                  <c:v>0.21205828923672515</c:v>
                </c:pt>
                <c:pt idx="21">
                  <c:v>0.28336742275793675</c:v>
                </c:pt>
                <c:pt idx="22">
                  <c:v>0.17452946892024887</c:v>
                </c:pt>
                <c:pt idx="23">
                  <c:v>0.3057911912728693</c:v>
                </c:pt>
                <c:pt idx="24">
                  <c:v>0.25353340852909606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06'!$D$155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06'!$D$156:$D$180</c:f>
              <c:numCache>
                <c:formatCode>"$"\ #,##0.0000</c:formatCode>
                <c:ptCount val="25"/>
                <c:pt idx="0">
                  <c:v>0.14321918618405488</c:v>
                </c:pt>
                <c:pt idx="1">
                  <c:v>0.12837948510034461</c:v>
                </c:pt>
                <c:pt idx="2">
                  <c:v>0.15424407731996559</c:v>
                </c:pt>
                <c:pt idx="3">
                  <c:v>0.19366984901216006</c:v>
                </c:pt>
                <c:pt idx="4">
                  <c:v>0.16831045278117704</c:v>
                </c:pt>
                <c:pt idx="5">
                  <c:v>0.24229089725950989</c:v>
                </c:pt>
                <c:pt idx="6">
                  <c:v>0.20885954743594942</c:v>
                </c:pt>
                <c:pt idx="7">
                  <c:v>0.2647953156297867</c:v>
                </c:pt>
                <c:pt idx="8">
                  <c:v>0.15143136367617432</c:v>
                </c:pt>
                <c:pt idx="9">
                  <c:v>0.12398756559289063</c:v>
                </c:pt>
                <c:pt idx="10">
                  <c:v>0.13484874741135766</c:v>
                </c:pt>
                <c:pt idx="11">
                  <c:v>0.13420908072858526</c:v>
                </c:pt>
                <c:pt idx="12">
                  <c:v>0.20324282861849036</c:v>
                </c:pt>
                <c:pt idx="13">
                  <c:v>0.18480372738723891</c:v>
                </c:pt>
                <c:pt idx="14">
                  <c:v>0.21096521403893972</c:v>
                </c:pt>
                <c:pt idx="15">
                  <c:v>0.2706471909465874</c:v>
                </c:pt>
                <c:pt idx="16">
                  <c:v>0.14139796841611779</c:v>
                </c:pt>
                <c:pt idx="17">
                  <c:v>0.16273621011290135</c:v>
                </c:pt>
                <c:pt idx="18">
                  <c:v>0.21779499206884087</c:v>
                </c:pt>
                <c:pt idx="19">
                  <c:v>0.30420304596594244</c:v>
                </c:pt>
                <c:pt idx="20">
                  <c:v>0.24226385418128443</c:v>
                </c:pt>
                <c:pt idx="21">
                  <c:v>0.3344177488138485</c:v>
                </c:pt>
                <c:pt idx="22">
                  <c:v>0.22548056464933369</c:v>
                </c:pt>
                <c:pt idx="23">
                  <c:v>0.35411747639042368</c:v>
                </c:pt>
                <c:pt idx="24">
                  <c:v>0.2951055044007691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064952"/>
        <c:axId val="281065344"/>
      </c:lineChart>
      <c:catAx>
        <c:axId val="281064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5344"/>
        <c:crosses val="autoZero"/>
        <c:auto val="1"/>
        <c:lblAlgn val="ctr"/>
        <c:lblOffset val="100"/>
        <c:noMultiLvlLbl val="0"/>
      </c:catAx>
      <c:valAx>
        <c:axId val="28106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00'!$D$212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00'!$A$213:$A$237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787080"/>
        <c:axId val="511787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00'!$B$212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(Precio CIF, 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00'!$A$213:$A$237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00'!$B$213:$B$237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721.07736799999998</c:v>
                      </c:pt>
                      <c:pt idx="1">
                        <c:v>778.54281600000002</c:v>
                      </c:pt>
                      <c:pt idx="2">
                        <c:v>726.94601599999999</c:v>
                      </c:pt>
                      <c:pt idx="3">
                        <c:v>990.27204799999993</c:v>
                      </c:pt>
                      <c:pt idx="4">
                        <c:v>1124.3610880000001</c:v>
                      </c:pt>
                      <c:pt idx="5">
                        <c:v>1264.539008</c:v>
                      </c:pt>
                      <c:pt idx="6">
                        <c:v>1477.9654399999999</c:v>
                      </c:pt>
                      <c:pt idx="7">
                        <c:v>1348.7868799999999</c:v>
                      </c:pt>
                      <c:pt idx="8">
                        <c:v>1193.2297920000001</c:v>
                      </c:pt>
                      <c:pt idx="9">
                        <c:v>1071.982888</c:v>
                      </c:pt>
                      <c:pt idx="10">
                        <c:v>940.04740700000002</c:v>
                      </c:pt>
                      <c:pt idx="11">
                        <c:v>1018.38838</c:v>
                      </c:pt>
                      <c:pt idx="12">
                        <c:v>1038.2639630000001</c:v>
                      </c:pt>
                      <c:pt idx="13">
                        <c:v>1217.3023229999999</c:v>
                      </c:pt>
                      <c:pt idx="14">
                        <c:v>1536.0551889999999</c:v>
                      </c:pt>
                      <c:pt idx="15">
                        <c:v>1674.9357299999999</c:v>
                      </c:pt>
                      <c:pt idx="16">
                        <c:v>2090.388798</c:v>
                      </c:pt>
                      <c:pt idx="17">
                        <c:v>2658.591101</c:v>
                      </c:pt>
                      <c:pt idx="18">
                        <c:v>1909.450292</c:v>
                      </c:pt>
                      <c:pt idx="19">
                        <c:v>1915.172262</c:v>
                      </c:pt>
                      <c:pt idx="20">
                        <c:v>2470.6055799999999</c:v>
                      </c:pt>
                      <c:pt idx="21">
                        <c:v>2247.7525559999999</c:v>
                      </c:pt>
                      <c:pt idx="22">
                        <c:v>2647.175538</c:v>
                      </c:pt>
                      <c:pt idx="23">
                        <c:v>3818.3010549999999</c:v>
                      </c:pt>
                      <c:pt idx="24">
                        <c:v>3872.0835889999998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00'!$C$212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(Precio CIF, 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00'!$A$213:$A$237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00'!$C$213:$C$237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360.53868399999999</c:v>
                      </c:pt>
                      <c:pt idx="1">
                        <c:v>389.27140800000001</c:v>
                      </c:pt>
                      <c:pt idx="2">
                        <c:v>363.47300799999999</c:v>
                      </c:pt>
                      <c:pt idx="3">
                        <c:v>495.13602399999996</c:v>
                      </c:pt>
                      <c:pt idx="4">
                        <c:v>562.18054400000005</c:v>
                      </c:pt>
                      <c:pt idx="5">
                        <c:v>632.26950399999998</c:v>
                      </c:pt>
                      <c:pt idx="6">
                        <c:v>738.98271999999997</c:v>
                      </c:pt>
                      <c:pt idx="7">
                        <c:v>674.39343999999994</c:v>
                      </c:pt>
                      <c:pt idx="8">
                        <c:v>596.61489600000004</c:v>
                      </c:pt>
                      <c:pt idx="9">
                        <c:v>535.991444</c:v>
                      </c:pt>
                      <c:pt idx="10">
                        <c:v>470.02370350000001</c:v>
                      </c:pt>
                      <c:pt idx="11">
                        <c:v>509.19418999999999</c:v>
                      </c:pt>
                      <c:pt idx="12">
                        <c:v>519.13198150000005</c:v>
                      </c:pt>
                      <c:pt idx="13">
                        <c:v>608.65116149999994</c:v>
                      </c:pt>
                      <c:pt idx="14">
                        <c:v>768.02759449999996</c:v>
                      </c:pt>
                      <c:pt idx="15">
                        <c:v>837.46786499999996</c:v>
                      </c:pt>
                      <c:pt idx="16">
                        <c:v>1045.194399</c:v>
                      </c:pt>
                      <c:pt idx="17">
                        <c:v>1329.2955505</c:v>
                      </c:pt>
                      <c:pt idx="18">
                        <c:v>954.725146</c:v>
                      </c:pt>
                      <c:pt idx="19">
                        <c:v>957.58613100000002</c:v>
                      </c:pt>
                      <c:pt idx="20">
                        <c:v>1235.30279</c:v>
                      </c:pt>
                      <c:pt idx="21">
                        <c:v>1123.876278</c:v>
                      </c:pt>
                      <c:pt idx="22">
                        <c:v>1323.587769</c:v>
                      </c:pt>
                      <c:pt idx="23">
                        <c:v>1909.1505275</c:v>
                      </c:pt>
                      <c:pt idx="24">
                        <c:v>1936.0417944999999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00'!$E$212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00'!$A$213:$A$237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00'!$E$213:$E$237</c:f>
              <c:numCache>
                <c:formatCode>0.000000%</c:formatCode>
                <c:ptCount val="25"/>
                <c:pt idx="0">
                  <c:v>5.8395881596548652E-7</c:v>
                </c:pt>
                <c:pt idx="1">
                  <c:v>5.9528002619241E-7</c:v>
                </c:pt>
                <c:pt idx="2">
                  <c:v>5.2840225169864506E-7</c:v>
                </c:pt>
                <c:pt idx="3">
                  <c:v>6.7745604278704107E-7</c:v>
                </c:pt>
                <c:pt idx="4">
                  <c:v>7.3352837008061006E-7</c:v>
                </c:pt>
                <c:pt idx="5">
                  <c:v>7.8056026510947081E-7</c:v>
                </c:pt>
                <c:pt idx="6">
                  <c:v>8.5843228477850133E-7</c:v>
                </c:pt>
                <c:pt idx="7">
                  <c:v>7.4197488703036403E-7</c:v>
                </c:pt>
                <c:pt idx="8">
                  <c:v>6.1757387100460596E-7</c:v>
                </c:pt>
                <c:pt idx="9">
                  <c:v>5.2115018125328699E-7</c:v>
                </c:pt>
                <c:pt idx="10">
                  <c:v>4.4250752366071971E-7</c:v>
                </c:pt>
                <c:pt idx="11">
                  <c:v>4.6385200692980219E-7</c:v>
                </c:pt>
                <c:pt idx="12">
                  <c:v>4.5100066416637789E-7</c:v>
                </c:pt>
                <c:pt idx="13">
                  <c:v>4.9584906852406785E-7</c:v>
                </c:pt>
                <c:pt idx="14">
                  <c:v>5.8656152916289822E-7</c:v>
                </c:pt>
                <c:pt idx="15">
                  <c:v>6.0441298673892283E-7</c:v>
                </c:pt>
                <c:pt idx="16">
                  <c:v>7.2193724941953567E-7</c:v>
                </c:pt>
                <c:pt idx="17">
                  <c:v>9.0314104341029588E-7</c:v>
                </c:pt>
                <c:pt idx="18">
                  <c:v>6.6214191546153934E-7</c:v>
                </c:pt>
                <c:pt idx="19">
                  <c:v>6.3991066982296351E-7</c:v>
                </c:pt>
                <c:pt idx="20">
                  <c:v>7.9604889854481848E-7</c:v>
                </c:pt>
                <c:pt idx="21">
                  <c:v>6.9567226144062721E-7</c:v>
                </c:pt>
                <c:pt idx="22">
                  <c:v>7.9431978628303399E-7</c:v>
                </c:pt>
                <c:pt idx="23">
                  <c:v>1.1004972670881603E-6</c:v>
                </c:pt>
                <c:pt idx="24">
                  <c:v>1.0787553496418008E-6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88256"/>
        <c:axId val="511787864"/>
      </c:lineChart>
      <c:catAx>
        <c:axId val="511787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787472"/>
        <c:crosses val="autoZero"/>
        <c:auto val="1"/>
        <c:lblAlgn val="ctr"/>
        <c:lblOffset val="100"/>
        <c:noMultiLvlLbl val="0"/>
      </c:catAx>
      <c:valAx>
        <c:axId val="5117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787080"/>
        <c:crosses val="autoZero"/>
        <c:crossBetween val="between"/>
        <c:majorUnit val="4000"/>
      </c:valAx>
      <c:valAx>
        <c:axId val="511787864"/>
        <c:scaling>
          <c:orientation val="minMax"/>
        </c:scaling>
        <c:delete val="0"/>
        <c:axPos val="r"/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788256"/>
        <c:crosses val="max"/>
        <c:crossBetween val="between"/>
      </c:valAx>
      <c:catAx>
        <c:axId val="511788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1787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06'!$D$5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06'!$B$6:$B$30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06'!$D$6:$D$30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066128"/>
        <c:axId val="281066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06'!$C$5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06'!$B$6:$B$30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06'!$C$6:$C$30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34.710495999999999</c:v>
                      </c:pt>
                      <c:pt idx="1">
                        <c:v>31.046907999999998</c:v>
                      </c:pt>
                      <c:pt idx="2">
                        <c:v>38.090372000000002</c:v>
                      </c:pt>
                      <c:pt idx="3">
                        <c:v>47.060023999999999</c:v>
                      </c:pt>
                      <c:pt idx="4">
                        <c:v>41.068123999999997</c:v>
                      </c:pt>
                      <c:pt idx="5">
                        <c:v>60.505304000000002</c:v>
                      </c:pt>
                      <c:pt idx="6">
                        <c:v>51.986088000000002</c:v>
                      </c:pt>
                      <c:pt idx="7">
                        <c:v>66.543272000000002</c:v>
                      </c:pt>
                      <c:pt idx="8">
                        <c:v>35.998551999999997</c:v>
                      </c:pt>
                      <c:pt idx="9">
                        <c:v>31.175438</c:v>
                      </c:pt>
                      <c:pt idx="10">
                        <c:v>34.390827000000002</c:v>
                      </c:pt>
                      <c:pt idx="11">
                        <c:v>35.354666000000002</c:v>
                      </c:pt>
                      <c:pt idx="12">
                        <c:v>56.438361</c:v>
                      </c:pt>
                      <c:pt idx="13">
                        <c:v>50.564785000000001</c:v>
                      </c:pt>
                      <c:pt idx="14">
                        <c:v>58.066253000000003</c:v>
                      </c:pt>
                      <c:pt idx="15">
                        <c:v>74.293081999999998</c:v>
                      </c:pt>
                      <c:pt idx="16">
                        <c:v>31.500926</c:v>
                      </c:pt>
                      <c:pt idx="17">
                        <c:v>38.706232</c:v>
                      </c:pt>
                      <c:pt idx="18">
                        <c:v>60.260446999999999</c:v>
                      </c:pt>
                      <c:pt idx="19">
                        <c:v>87.062790000000007</c:v>
                      </c:pt>
                      <c:pt idx="20">
                        <c:v>66.103155999999998</c:v>
                      </c:pt>
                      <c:pt idx="21">
                        <c:v>89.009129999999999</c:v>
                      </c:pt>
                      <c:pt idx="22">
                        <c:v>55.238146</c:v>
                      </c:pt>
                      <c:pt idx="23">
                        <c:v>97.503679000000005</c:v>
                      </c:pt>
                      <c:pt idx="24">
                        <c:v>81.490409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06'!$E$5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06'!$B$6:$B$30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06'!$E$6:$E$30</c:f>
              <c:numCache>
                <c:formatCode>0.00000000000%</c:formatCode>
                <c:ptCount val="25"/>
                <c:pt idx="0">
                  <c:v>1.1238029128451654E-11</c:v>
                </c:pt>
                <c:pt idx="1">
                  <c:v>8.448418695804324E-12</c:v>
                </c:pt>
                <c:pt idx="2">
                  <c:v>7.0324434520633542E-12</c:v>
                </c:pt>
                <c:pt idx="3">
                  <c:v>5.6963857020065524E-12</c:v>
                </c:pt>
                <c:pt idx="4">
                  <c:v>4.2130538208101334E-12</c:v>
                </c:pt>
                <c:pt idx="5">
                  <c:v>4.4034370871684755E-12</c:v>
                </c:pt>
                <c:pt idx="6">
                  <c:v>3.0870519748672854E-12</c:v>
                </c:pt>
                <c:pt idx="7">
                  <c:v>3.6038639493980421E-12</c:v>
                </c:pt>
                <c:pt idx="8">
                  <c:v>1.9725532287501994E-12</c:v>
                </c:pt>
                <c:pt idx="9">
                  <c:v>1.7933615204960941E-12</c:v>
                </c:pt>
                <c:pt idx="10">
                  <c:v>2.0280892750625031E-12</c:v>
                </c:pt>
                <c:pt idx="11">
                  <c:v>1.8310521831237287E-12</c:v>
                </c:pt>
                <c:pt idx="12">
                  <c:v>2.7694489019385428E-12</c:v>
                </c:pt>
                <c:pt idx="13">
                  <c:v>2.2940664523078958E-12</c:v>
                </c:pt>
                <c:pt idx="14">
                  <c:v>2.2768964326412187E-12</c:v>
                </c:pt>
                <c:pt idx="15">
                  <c:v>2.5651070284400528E-12</c:v>
                </c:pt>
                <c:pt idx="16">
                  <c:v>9.9728594234767639E-13</c:v>
                </c:pt>
                <c:pt idx="17">
                  <c:v>1.084224791903674E-12</c:v>
                </c:pt>
                <c:pt idx="18">
                  <c:v>1.4556938489346918E-12</c:v>
                </c:pt>
                <c:pt idx="19">
                  <c:v>1.8262528204696201E-12</c:v>
                </c:pt>
                <c:pt idx="20">
                  <c:v>1.4692682542141258E-12</c:v>
                </c:pt>
                <c:pt idx="21">
                  <c:v>1.7992251309878413E-12</c:v>
                </c:pt>
                <c:pt idx="22">
                  <c:v>9.4352192892691082E-13</c:v>
                </c:pt>
                <c:pt idx="23">
                  <c:v>1.605502417260262E-12</c:v>
                </c:pt>
                <c:pt idx="24">
                  <c:v>1.2627685810373678E-12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067304"/>
        <c:axId val="281066912"/>
      </c:lineChart>
      <c:catAx>
        <c:axId val="281066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6520"/>
        <c:crosses val="autoZero"/>
        <c:auto val="1"/>
        <c:lblAlgn val="ctr"/>
        <c:lblOffset val="100"/>
        <c:noMultiLvlLbl val="0"/>
      </c:catAx>
      <c:valAx>
        <c:axId val="28106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6128"/>
        <c:crosses val="autoZero"/>
        <c:crossBetween val="between"/>
      </c:valAx>
      <c:valAx>
        <c:axId val="281066912"/>
        <c:scaling>
          <c:orientation val="minMax"/>
          <c:max val="1.2000000000000007E-11"/>
        </c:scaling>
        <c:delete val="0"/>
        <c:axPos val="r"/>
        <c:numFmt formatCode="0.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7304"/>
        <c:crosses val="max"/>
        <c:crossBetween val="between"/>
        <c:majorUnit val="2.0000000000000012E-12"/>
      </c:valAx>
      <c:catAx>
        <c:axId val="281067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1066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06'!$D$36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06'!$B$37:$B$61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06'!$D$37:$D$61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068088"/>
        <c:axId val="281068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06'!$C$36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06'!$B$37:$B$61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06'!$C$37:$C$61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1.612754</c:v>
                      </c:pt>
                      <c:pt idx="1">
                        <c:v>1.884484</c:v>
                      </c:pt>
                      <c:pt idx="2">
                        <c:v>1.8790500000000001</c:v>
                      </c:pt>
                      <c:pt idx="3">
                        <c:v>4.0806300000000002</c:v>
                      </c:pt>
                      <c:pt idx="4">
                        <c:v>3.769444</c:v>
                      </c:pt>
                      <c:pt idx="5">
                        <c:v>4.6539869999999999</c:v>
                      </c:pt>
                      <c:pt idx="6">
                        <c:v>4.695678</c:v>
                      </c:pt>
                      <c:pt idx="7">
                        <c:v>5.3708989999999996</c:v>
                      </c:pt>
                      <c:pt idx="8">
                        <c:v>5.4972760000000003</c:v>
                      </c:pt>
                      <c:pt idx="9">
                        <c:v>4.1571689999999997</c:v>
                      </c:pt>
                      <c:pt idx="10">
                        <c:v>4.3950699999999996</c:v>
                      </c:pt>
                      <c:pt idx="11">
                        <c:v>3.5804529999999999</c:v>
                      </c:pt>
                      <c:pt idx="12">
                        <c:v>3.0722160000000001</c:v>
                      </c:pt>
                      <c:pt idx="13">
                        <c:v>4.047784</c:v>
                      </c:pt>
                      <c:pt idx="14">
                        <c:v>4.8815289999999996</c:v>
                      </c:pt>
                      <c:pt idx="15">
                        <c:v>7.2342979999999999</c:v>
                      </c:pt>
                      <c:pt idx="16">
                        <c:v>11.497343000000001</c:v>
                      </c:pt>
                      <c:pt idx="17">
                        <c:v>11.216604</c:v>
                      </c:pt>
                      <c:pt idx="18">
                        <c:v>6.9827849999999998</c:v>
                      </c:pt>
                      <c:pt idx="19">
                        <c:v>7.0415270000000003</c:v>
                      </c:pt>
                      <c:pt idx="20">
                        <c:v>9.4157279999999997</c:v>
                      </c:pt>
                      <c:pt idx="21">
                        <c:v>16.035523999999999</c:v>
                      </c:pt>
                      <c:pt idx="22">
                        <c:v>16.125896000000001</c:v>
                      </c:pt>
                      <c:pt idx="23">
                        <c:v>15.409177</c:v>
                      </c:pt>
                      <c:pt idx="24">
                        <c:v>13.362054000000001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06'!$E$36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06'!$B$37:$B$61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06'!$E$37:$E$61</c:f>
              <c:numCache>
                <c:formatCode>0.0000000000%</c:formatCode>
                <c:ptCount val="25"/>
                <c:pt idx="0">
                  <c:v>5.2215262003248002E-11</c:v>
                </c:pt>
                <c:pt idx="1">
                  <c:v>5.128017855286625E-11</c:v>
                </c:pt>
                <c:pt idx="2">
                  <c:v>3.469200266303423E-11</c:v>
                </c:pt>
                <c:pt idx="3">
                  <c:v>4.9394030031049281E-11</c:v>
                </c:pt>
                <c:pt idx="4">
                  <c:v>3.8669578494819561E-11</c:v>
                </c:pt>
                <c:pt idx="5">
                  <c:v>3.387064869387311E-11</c:v>
                </c:pt>
                <c:pt idx="6">
                  <c:v>2.7884002433960532E-11</c:v>
                </c:pt>
                <c:pt idx="7">
                  <c:v>2.9087823156573962E-11</c:v>
                </c:pt>
                <c:pt idx="8">
                  <c:v>3.0122515825444819E-11</c:v>
                </c:pt>
                <c:pt idx="9">
                  <c:v>2.3914040658544161E-11</c:v>
                </c:pt>
                <c:pt idx="10">
                  <c:v>2.5918522779777741E-11</c:v>
                </c:pt>
                <c:pt idx="11">
                  <c:v>1.8543510727047748E-11</c:v>
                </c:pt>
                <c:pt idx="12">
                  <c:v>1.5075464767160801E-11</c:v>
                </c:pt>
                <c:pt idx="13">
                  <c:v>1.8364332965301175E-11</c:v>
                </c:pt>
                <c:pt idx="14">
                  <c:v>1.914147270004602E-11</c:v>
                </c:pt>
                <c:pt idx="15">
                  <c:v>2.4977761247850531E-11</c:v>
                </c:pt>
                <c:pt idx="16">
                  <c:v>3.6399369809793724E-11</c:v>
                </c:pt>
                <c:pt idx="17">
                  <c:v>3.1419540237773389E-11</c:v>
                </c:pt>
                <c:pt idx="18">
                  <c:v>1.6868107820264644E-11</c:v>
                </c:pt>
                <c:pt idx="19">
                  <c:v>1.4770499020491973E-11</c:v>
                </c:pt>
                <c:pt idx="20">
                  <c:v>2.0928244697900752E-11</c:v>
                </c:pt>
                <c:pt idx="21">
                  <c:v>3.2414110518054353E-11</c:v>
                </c:pt>
                <c:pt idx="22">
                  <c:v>2.7544618350505021E-11</c:v>
                </c:pt>
                <c:pt idx="23">
                  <c:v>2.5372858927191073E-11</c:v>
                </c:pt>
                <c:pt idx="24">
                  <c:v>2.0705727430236221E-11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44240"/>
        <c:axId val="281068872"/>
      </c:lineChart>
      <c:catAx>
        <c:axId val="281068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8480"/>
        <c:crosses val="autoZero"/>
        <c:auto val="1"/>
        <c:lblAlgn val="ctr"/>
        <c:lblOffset val="100"/>
        <c:noMultiLvlLbl val="0"/>
      </c:catAx>
      <c:valAx>
        <c:axId val="28106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068088"/>
        <c:crosses val="autoZero"/>
        <c:crossBetween val="between"/>
      </c:valAx>
      <c:valAx>
        <c:axId val="281068872"/>
        <c:scaling>
          <c:orientation val="minMax"/>
          <c:max val="6.0000000000000038E-11"/>
          <c:min val="0"/>
        </c:scaling>
        <c:delete val="0"/>
        <c:axPos val="r"/>
        <c:numFmt formatCode="0.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44240"/>
        <c:crosses val="max"/>
        <c:crossBetween val="between"/>
        <c:majorUnit val="1.0000000000000006E-11"/>
      </c:valAx>
      <c:catAx>
        <c:axId val="519144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1068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06'!$D$67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06'!$B$68:$B$92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06'!$D$68:$D$92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45024"/>
        <c:axId val="5191454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06'!$C$67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06'!$B$68:$B$92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06'!$C$68:$C$92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36.323250000000002</c:v>
                      </c:pt>
                      <c:pt idx="1">
                        <c:v>32.931391999999995</c:v>
                      </c:pt>
                      <c:pt idx="2">
                        <c:v>39.969422000000002</c:v>
                      </c:pt>
                      <c:pt idx="3">
                        <c:v>51.140653999999998</c:v>
                      </c:pt>
                      <c:pt idx="4">
                        <c:v>44.837567999999997</c:v>
                      </c:pt>
                      <c:pt idx="5">
                        <c:v>65.159290999999996</c:v>
                      </c:pt>
                      <c:pt idx="6">
                        <c:v>56.681766000000003</c:v>
                      </c:pt>
                      <c:pt idx="7">
                        <c:v>71.914170999999996</c:v>
                      </c:pt>
                      <c:pt idx="8">
                        <c:v>41.495827999999996</c:v>
                      </c:pt>
                      <c:pt idx="9">
                        <c:v>35.332606999999996</c:v>
                      </c:pt>
                      <c:pt idx="10">
                        <c:v>38.785896999999999</c:v>
                      </c:pt>
                      <c:pt idx="11">
                        <c:v>38.935119</c:v>
                      </c:pt>
                      <c:pt idx="12">
                        <c:v>59.510576999999998</c:v>
                      </c:pt>
                      <c:pt idx="13">
                        <c:v>54.612569000000001</c:v>
                      </c:pt>
                      <c:pt idx="14">
                        <c:v>62.947782000000004</c:v>
                      </c:pt>
                      <c:pt idx="15">
                        <c:v>81.527379999999994</c:v>
                      </c:pt>
                      <c:pt idx="16">
                        <c:v>42.998269000000001</c:v>
                      </c:pt>
                      <c:pt idx="17">
                        <c:v>49.922836000000004</c:v>
                      </c:pt>
                      <c:pt idx="18">
                        <c:v>67.243232000000006</c:v>
                      </c:pt>
                      <c:pt idx="19">
                        <c:v>94.104317000000009</c:v>
                      </c:pt>
                      <c:pt idx="20">
                        <c:v>75.518884</c:v>
                      </c:pt>
                      <c:pt idx="21">
                        <c:v>105.04465399999999</c:v>
                      </c:pt>
                      <c:pt idx="22">
                        <c:v>71.364041999999998</c:v>
                      </c:pt>
                      <c:pt idx="23">
                        <c:v>112.912856</c:v>
                      </c:pt>
                      <c:pt idx="24">
                        <c:v>94.852463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06'!$E$67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06'!$B$68:$B$92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06'!$E$68:$E$92</c:f>
              <c:numCache>
                <c:formatCode>0.00000000%</c:formatCode>
                <c:ptCount val="25"/>
                <c:pt idx="0">
                  <c:v>5.8800908742420676E-9</c:v>
                </c:pt>
                <c:pt idx="1">
                  <c:v>4.4806102406664931E-9</c:v>
                </c:pt>
                <c:pt idx="2">
                  <c:v>3.6896817393468478E-9</c:v>
                </c:pt>
                <c:pt idx="3">
                  <c:v>3.0951630011585223E-9</c:v>
                </c:pt>
                <c:pt idx="4">
                  <c:v>2.2998748028791644E-9</c:v>
                </c:pt>
                <c:pt idx="5">
                  <c:v>2.3710717870536034E-9</c:v>
                </c:pt>
                <c:pt idx="6">
                  <c:v>1.6829459996034451E-9</c:v>
                </c:pt>
                <c:pt idx="7">
                  <c:v>1.9473710904818908E-9</c:v>
                </c:pt>
                <c:pt idx="8">
                  <c:v>1.1368891935023238E-9</c:v>
                </c:pt>
                <c:pt idx="9">
                  <c:v>1.0162509635407677E-9</c:v>
                </c:pt>
                <c:pt idx="10">
                  <c:v>1.1436372514301402E-9</c:v>
                </c:pt>
                <c:pt idx="11">
                  <c:v>1.0082436451971031E-9</c:v>
                </c:pt>
                <c:pt idx="12">
                  <c:v>1.4601017748050754E-9</c:v>
                </c:pt>
                <c:pt idx="13">
                  <c:v>1.2388548909804539E-9</c:v>
                </c:pt>
                <c:pt idx="14">
                  <c:v>1.2341555798208395E-9</c:v>
                </c:pt>
                <c:pt idx="15">
                  <c:v>1.4074423204592793E-9</c:v>
                </c:pt>
                <c:pt idx="16">
                  <c:v>6.8063982022280685E-10</c:v>
                </c:pt>
                <c:pt idx="17">
                  <c:v>6.9921009714070405E-10</c:v>
                </c:pt>
                <c:pt idx="18">
                  <c:v>8.1218746356866915E-10</c:v>
                </c:pt>
                <c:pt idx="19">
                  <c:v>9.8697890533727009E-10</c:v>
                </c:pt>
                <c:pt idx="20">
                  <c:v>8.3927535059656668E-10</c:v>
                </c:pt>
                <c:pt idx="21">
                  <c:v>1.0616831180841923E-9</c:v>
                </c:pt>
                <c:pt idx="22">
                  <c:v>6.0948405621598044E-10</c:v>
                </c:pt>
                <c:pt idx="23">
                  <c:v>9.2961550326608631E-10</c:v>
                </c:pt>
                <c:pt idx="24">
                  <c:v>7.3491292766986501E-10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46200"/>
        <c:axId val="519145808"/>
      </c:lineChart>
      <c:catAx>
        <c:axId val="5191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45416"/>
        <c:crosses val="autoZero"/>
        <c:auto val="1"/>
        <c:lblAlgn val="ctr"/>
        <c:lblOffset val="100"/>
        <c:noMultiLvlLbl val="0"/>
      </c:catAx>
      <c:valAx>
        <c:axId val="51914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45024"/>
        <c:crosses val="autoZero"/>
        <c:crossBetween val="between"/>
      </c:valAx>
      <c:valAx>
        <c:axId val="519145808"/>
        <c:scaling>
          <c:orientation val="minMax"/>
          <c:max val="6.0000000000000024E-9"/>
        </c:scaling>
        <c:delete val="0"/>
        <c:axPos val="r"/>
        <c:numFmt formatCode="0.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46200"/>
        <c:crosses val="max"/>
        <c:crossBetween val="between"/>
        <c:majorUnit val="1.0000000000000005E-9"/>
      </c:valAx>
      <c:catAx>
        <c:axId val="519146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145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07'!$B$1</c:f>
              <c:strCache>
                <c:ptCount val="1"/>
                <c:pt idx="0">
                  <c:v>Exportaciones  de Colombia a USA (US$ millones)</c:v>
                </c:pt>
              </c:strCache>
            </c:strRef>
          </c:tx>
          <c:invertIfNegative val="0"/>
          <c:cat>
            <c:numRef>
              <c:f>'Export 07'!$A$2:$A$26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07'!$B$2:$B$26</c:f>
              <c:numCache>
                <c:formatCode>0.0</c:formatCode>
                <c:ptCount val="25"/>
                <c:pt idx="0">
                  <c:v>356.33337599999999</c:v>
                </c:pt>
                <c:pt idx="1">
                  <c:v>373.66137600000002</c:v>
                </c:pt>
                <c:pt idx="2">
                  <c:v>235.826752</c:v>
                </c:pt>
                <c:pt idx="3">
                  <c:v>362.19535999999999</c:v>
                </c:pt>
                <c:pt idx="4">
                  <c:v>414.26508799999999</c:v>
                </c:pt>
                <c:pt idx="5">
                  <c:v>412.33942400000001</c:v>
                </c:pt>
                <c:pt idx="6">
                  <c:v>703.16601600000001</c:v>
                </c:pt>
                <c:pt idx="7">
                  <c:v>572.62649599999997</c:v>
                </c:pt>
                <c:pt idx="8">
                  <c:v>469.02096</c:v>
                </c:pt>
                <c:pt idx="9">
                  <c:v>389.229713</c:v>
                </c:pt>
                <c:pt idx="10">
                  <c:v>279.14183400000002</c:v>
                </c:pt>
                <c:pt idx="11">
                  <c:v>296.84640100000001</c:v>
                </c:pt>
                <c:pt idx="12">
                  <c:v>324.63494900000001</c:v>
                </c:pt>
                <c:pt idx="13">
                  <c:v>380.21622500000001</c:v>
                </c:pt>
                <c:pt idx="14">
                  <c:v>586.29403300000001</c:v>
                </c:pt>
                <c:pt idx="15">
                  <c:v>579.43696</c:v>
                </c:pt>
                <c:pt idx="16">
                  <c:v>658.19860600000004</c:v>
                </c:pt>
                <c:pt idx="17">
                  <c:v>784.02828799999997</c:v>
                </c:pt>
                <c:pt idx="18">
                  <c:v>767.05405399999995</c:v>
                </c:pt>
                <c:pt idx="19">
                  <c:v>879.24043200000006</c:v>
                </c:pt>
                <c:pt idx="20">
                  <c:v>1253.501368</c:v>
                </c:pt>
                <c:pt idx="21">
                  <c:v>925.35675600000002</c:v>
                </c:pt>
                <c:pt idx="22">
                  <c:v>959.63503200000002</c:v>
                </c:pt>
                <c:pt idx="23">
                  <c:v>1138.514244</c:v>
                </c:pt>
                <c:pt idx="24">
                  <c:v>1178.3594880000001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146984"/>
        <c:axId val="519147376"/>
      </c:barChart>
      <c:catAx>
        <c:axId val="51914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9147376"/>
        <c:crosses val="autoZero"/>
        <c:auto val="1"/>
        <c:lblAlgn val="ctr"/>
        <c:lblOffset val="100"/>
        <c:noMultiLvlLbl val="0"/>
      </c:catAx>
      <c:valAx>
        <c:axId val="519147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 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19146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07'!$A$2:$A$26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07'!$B$2:$B$26</c:f>
              <c:numCache>
                <c:formatCode>0.0</c:formatCode>
                <c:ptCount val="25"/>
                <c:pt idx="0">
                  <c:v>0.61987899999999996</c:v>
                </c:pt>
                <c:pt idx="1">
                  <c:v>1.5621160000000001</c:v>
                </c:pt>
                <c:pt idx="2">
                  <c:v>1.8800250000000001</c:v>
                </c:pt>
                <c:pt idx="3">
                  <c:v>1.911216</c:v>
                </c:pt>
                <c:pt idx="4">
                  <c:v>2.47004</c:v>
                </c:pt>
                <c:pt idx="5">
                  <c:v>2.2214939999999999</c:v>
                </c:pt>
                <c:pt idx="6">
                  <c:v>1.9101360000000001</c:v>
                </c:pt>
                <c:pt idx="7">
                  <c:v>2.292964</c:v>
                </c:pt>
                <c:pt idx="8">
                  <c:v>1.6053090000000001</c:v>
                </c:pt>
                <c:pt idx="9">
                  <c:v>1.5225580000000001</c:v>
                </c:pt>
                <c:pt idx="10">
                  <c:v>2.221114</c:v>
                </c:pt>
                <c:pt idx="11">
                  <c:v>2.882511</c:v>
                </c:pt>
                <c:pt idx="12">
                  <c:v>2.506888</c:v>
                </c:pt>
                <c:pt idx="13">
                  <c:v>3.5586880000000001</c:v>
                </c:pt>
                <c:pt idx="14">
                  <c:v>3.428855</c:v>
                </c:pt>
                <c:pt idx="15">
                  <c:v>5.3733060000000004</c:v>
                </c:pt>
                <c:pt idx="16">
                  <c:v>3.6913179999999999</c:v>
                </c:pt>
                <c:pt idx="17">
                  <c:v>5.5052070000000004</c:v>
                </c:pt>
                <c:pt idx="18">
                  <c:v>4.6945759999999996</c:v>
                </c:pt>
                <c:pt idx="19">
                  <c:v>5.8489870000000002</c:v>
                </c:pt>
                <c:pt idx="20">
                  <c:v>6.8179720000000001</c:v>
                </c:pt>
                <c:pt idx="21">
                  <c:v>13.463668999999999</c:v>
                </c:pt>
                <c:pt idx="22">
                  <c:v>29.753143000000001</c:v>
                </c:pt>
                <c:pt idx="23">
                  <c:v>30.614239999999999</c:v>
                </c:pt>
                <c:pt idx="24">
                  <c:v>25.557029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48160"/>
        <c:axId val="519148552"/>
      </c:lineChart>
      <c:catAx>
        <c:axId val="51914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9148552"/>
        <c:crosses val="autoZero"/>
        <c:auto val="1"/>
        <c:lblAlgn val="ctr"/>
        <c:lblOffset val="100"/>
        <c:noMultiLvlLbl val="0"/>
      </c:catAx>
      <c:valAx>
        <c:axId val="519148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19148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07'!$A$2:$A$26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07'!$B$2:$B$26</c:f>
              <c:numCache>
                <c:formatCode>[$$-409]#,##0.0</c:formatCode>
                <c:ptCount val="25"/>
                <c:pt idx="0">
                  <c:v>355.71349699999996</c:v>
                </c:pt>
                <c:pt idx="1">
                  <c:v>372.09926000000002</c:v>
                </c:pt>
                <c:pt idx="2">
                  <c:v>233.94672700000001</c:v>
                </c:pt>
                <c:pt idx="3">
                  <c:v>360.28414399999997</c:v>
                </c:pt>
                <c:pt idx="4">
                  <c:v>411.79504800000001</c:v>
                </c:pt>
                <c:pt idx="5">
                  <c:v>410.11793</c:v>
                </c:pt>
                <c:pt idx="6">
                  <c:v>701.25588000000005</c:v>
                </c:pt>
                <c:pt idx="7">
                  <c:v>570.33353199999999</c:v>
                </c:pt>
                <c:pt idx="8">
                  <c:v>467.41565100000003</c:v>
                </c:pt>
                <c:pt idx="9">
                  <c:v>387.707155</c:v>
                </c:pt>
                <c:pt idx="10">
                  <c:v>276.92072000000002</c:v>
                </c:pt>
                <c:pt idx="11">
                  <c:v>293.96388999999999</c:v>
                </c:pt>
                <c:pt idx="12">
                  <c:v>322.128061</c:v>
                </c:pt>
                <c:pt idx="13">
                  <c:v>376.65753699999999</c:v>
                </c:pt>
                <c:pt idx="14">
                  <c:v>582.86517800000001</c:v>
                </c:pt>
                <c:pt idx="15">
                  <c:v>574.06365400000004</c:v>
                </c:pt>
                <c:pt idx="16">
                  <c:v>654.50728800000002</c:v>
                </c:pt>
                <c:pt idx="17">
                  <c:v>778.52308099999993</c:v>
                </c:pt>
                <c:pt idx="18">
                  <c:v>762.35947799999997</c:v>
                </c:pt>
                <c:pt idx="19">
                  <c:v>873.39144500000009</c:v>
                </c:pt>
                <c:pt idx="20">
                  <c:v>1246.6833959999999</c:v>
                </c:pt>
                <c:pt idx="21">
                  <c:v>911.89308700000004</c:v>
                </c:pt>
                <c:pt idx="22">
                  <c:v>929.881889</c:v>
                </c:pt>
                <c:pt idx="23">
                  <c:v>1107.9000039999999</c:v>
                </c:pt>
                <c:pt idx="24">
                  <c:v>1152.802459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49336"/>
        <c:axId val="519149728"/>
      </c:lineChart>
      <c:catAx>
        <c:axId val="519149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9149728"/>
        <c:crosses val="autoZero"/>
        <c:auto val="1"/>
        <c:lblAlgn val="ctr"/>
        <c:lblOffset val="100"/>
        <c:noMultiLvlLbl val="0"/>
      </c:catAx>
      <c:valAx>
        <c:axId val="51914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[$$-409]#,##0.0" sourceLinked="1"/>
        <c:majorTickMark val="out"/>
        <c:minorTickMark val="none"/>
        <c:tickLblPos val="nextTo"/>
        <c:crossAx val="519149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07'!$C$6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07'!$A$7:$A$31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50512"/>
        <c:axId val="519150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07'!$B$6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07'!$A$7:$A$31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07'!$B$7:$B$31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356.33337599999999</c:v>
                      </c:pt>
                      <c:pt idx="1">
                        <c:v>373.66137600000002</c:v>
                      </c:pt>
                      <c:pt idx="2">
                        <c:v>235.826752</c:v>
                      </c:pt>
                      <c:pt idx="3">
                        <c:v>362.19535999999999</c:v>
                      </c:pt>
                      <c:pt idx="4">
                        <c:v>414.26508799999999</c:v>
                      </c:pt>
                      <c:pt idx="5">
                        <c:v>412.33942400000001</c:v>
                      </c:pt>
                      <c:pt idx="6">
                        <c:v>703.16601600000001</c:v>
                      </c:pt>
                      <c:pt idx="7">
                        <c:v>572.62649599999997</c:v>
                      </c:pt>
                      <c:pt idx="8">
                        <c:v>469.02096</c:v>
                      </c:pt>
                      <c:pt idx="9">
                        <c:v>389.229713</c:v>
                      </c:pt>
                      <c:pt idx="10">
                        <c:v>279.14183400000002</c:v>
                      </c:pt>
                      <c:pt idx="11">
                        <c:v>296.84640100000001</c:v>
                      </c:pt>
                      <c:pt idx="12">
                        <c:v>324.63494900000001</c:v>
                      </c:pt>
                      <c:pt idx="13">
                        <c:v>380.21622500000001</c:v>
                      </c:pt>
                      <c:pt idx="14">
                        <c:v>586.29403300000001</c:v>
                      </c:pt>
                      <c:pt idx="15">
                        <c:v>579.43696</c:v>
                      </c:pt>
                      <c:pt idx="16">
                        <c:v>658.19860600000004</c:v>
                      </c:pt>
                      <c:pt idx="17">
                        <c:v>784.02828799999997</c:v>
                      </c:pt>
                      <c:pt idx="18">
                        <c:v>767.05405399999995</c:v>
                      </c:pt>
                      <c:pt idx="19">
                        <c:v>879.24043200000006</c:v>
                      </c:pt>
                      <c:pt idx="20">
                        <c:v>1253.501368</c:v>
                      </c:pt>
                      <c:pt idx="21">
                        <c:v>925.35675600000002</c:v>
                      </c:pt>
                      <c:pt idx="22">
                        <c:v>959.63503200000002</c:v>
                      </c:pt>
                      <c:pt idx="23">
                        <c:v>1138.514244</c:v>
                      </c:pt>
                      <c:pt idx="24">
                        <c:v>1178.3594880000001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07'!$D$6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07'!$A$7:$A$31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07'!$D$7:$D$31</c:f>
              <c:numCache>
                <c:formatCode>0.0000%</c:formatCode>
                <c:ptCount val="25"/>
                <c:pt idx="0">
                  <c:v>8.6405735293218535E-5</c:v>
                </c:pt>
                <c:pt idx="1">
                  <c:v>7.582478085144207E-5</c:v>
                </c:pt>
                <c:pt idx="2">
                  <c:v>4.2260934999240364E-5</c:v>
                </c:pt>
                <c:pt idx="3">
                  <c:v>4.4330460146095784E-5</c:v>
                </c:pt>
                <c:pt idx="4">
                  <c:v>4.4781891528978433E-5</c:v>
                </c:pt>
                <c:pt idx="5">
                  <c:v>4.2439167403463092E-5</c:v>
                </c:pt>
                <c:pt idx="6">
                  <c:v>6.5926238497222912E-5</c:v>
                </c:pt>
                <c:pt idx="7">
                  <c:v>5.8167891370188043E-5</c:v>
                </c:pt>
                <c:pt idx="8">
                  <c:v>5.4419523806099768E-5</c:v>
                </c:pt>
                <c:pt idx="9">
                  <c:v>3.8967168807603294E-5</c:v>
                </c:pt>
                <c:pt idx="10">
                  <c:v>2.8424822555919513E-5</c:v>
                </c:pt>
                <c:pt idx="11">
                  <c:v>3.0311050588305732E-5</c:v>
                </c:pt>
                <c:pt idx="12">
                  <c:v>3.4285935489933308E-5</c:v>
                </c:pt>
                <c:pt idx="13">
                  <c:v>3.247633241572062E-5</c:v>
                </c:pt>
                <c:pt idx="14">
                  <c:v>4.0001976427349117E-5</c:v>
                </c:pt>
                <c:pt idx="15">
                  <c:v>3.5637889128680639E-5</c:v>
                </c:pt>
                <c:pt idx="16">
                  <c:v>3.1733185305963515E-5</c:v>
                </c:pt>
                <c:pt idx="17">
                  <c:v>3.2134619804686532E-5</c:v>
                </c:pt>
                <c:pt idx="18">
                  <c:v>3.2805088262972311E-5</c:v>
                </c:pt>
                <c:pt idx="19">
                  <c:v>3.0633614142266945E-5</c:v>
                </c:pt>
                <c:pt idx="20">
                  <c:v>3.7371637594569974E-5</c:v>
                </c:pt>
                <c:pt idx="21">
                  <c:v>2.5032665315152661E-5</c:v>
                </c:pt>
                <c:pt idx="22">
                  <c:v>2.5240808070500361E-5</c:v>
                </c:pt>
                <c:pt idx="23">
                  <c:v>3.0086311948269238E-5</c:v>
                </c:pt>
                <c:pt idx="24">
                  <c:v>4.0343702414325045E-5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51688"/>
        <c:axId val="519151296"/>
      </c:lineChart>
      <c:catAx>
        <c:axId val="51915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0904"/>
        <c:crosses val="autoZero"/>
        <c:auto val="1"/>
        <c:lblAlgn val="ctr"/>
        <c:lblOffset val="100"/>
        <c:noMultiLvlLbl val="0"/>
      </c:catAx>
      <c:valAx>
        <c:axId val="51915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Millones de 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0512"/>
        <c:crosses val="autoZero"/>
        <c:crossBetween val="between"/>
      </c:valAx>
      <c:valAx>
        <c:axId val="5191512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1688"/>
        <c:crosses val="max"/>
        <c:crossBetween val="between"/>
      </c:valAx>
      <c:catAx>
        <c:axId val="519151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151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07'!$C$65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07'!$A$66:$A$90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52472"/>
        <c:axId val="5191528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07'!$B$65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millones)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07'!$A$66:$A$90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07'!$B$66:$B$90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0.61987899999999996</c:v>
                      </c:pt>
                      <c:pt idx="1">
                        <c:v>1.5621160000000001</c:v>
                      </c:pt>
                      <c:pt idx="2">
                        <c:v>1.8800250000000001</c:v>
                      </c:pt>
                      <c:pt idx="3">
                        <c:v>1.911216</c:v>
                      </c:pt>
                      <c:pt idx="4">
                        <c:v>2.47004</c:v>
                      </c:pt>
                      <c:pt idx="5">
                        <c:v>2.2214939999999999</c:v>
                      </c:pt>
                      <c:pt idx="6">
                        <c:v>1.9101360000000001</c:v>
                      </c:pt>
                      <c:pt idx="7">
                        <c:v>2.292964</c:v>
                      </c:pt>
                      <c:pt idx="8">
                        <c:v>1.6053090000000001</c:v>
                      </c:pt>
                      <c:pt idx="9">
                        <c:v>1.5225580000000001</c:v>
                      </c:pt>
                      <c:pt idx="10">
                        <c:v>2.221114</c:v>
                      </c:pt>
                      <c:pt idx="11">
                        <c:v>2.882511</c:v>
                      </c:pt>
                      <c:pt idx="12">
                        <c:v>2.506888</c:v>
                      </c:pt>
                      <c:pt idx="13">
                        <c:v>3.5586880000000001</c:v>
                      </c:pt>
                      <c:pt idx="14">
                        <c:v>3.428855</c:v>
                      </c:pt>
                      <c:pt idx="15">
                        <c:v>5.3733060000000004</c:v>
                      </c:pt>
                      <c:pt idx="16">
                        <c:v>3.6913179999999999</c:v>
                      </c:pt>
                      <c:pt idx="17">
                        <c:v>5.5052070000000004</c:v>
                      </c:pt>
                      <c:pt idx="18">
                        <c:v>4.6945759999999996</c:v>
                      </c:pt>
                      <c:pt idx="19">
                        <c:v>5.8489870000000002</c:v>
                      </c:pt>
                      <c:pt idx="20">
                        <c:v>6.8179720000000001</c:v>
                      </c:pt>
                      <c:pt idx="21">
                        <c:v>13.463668999999999</c:v>
                      </c:pt>
                      <c:pt idx="22">
                        <c:v>29.753143000000001</c:v>
                      </c:pt>
                      <c:pt idx="23">
                        <c:v>30.614239999999999</c:v>
                      </c:pt>
                      <c:pt idx="24">
                        <c:v>25.557029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07'!$D$65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07'!$A$66:$A$90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07'!$D$66:$D$90</c:f>
              <c:numCache>
                <c:formatCode>0.000000%</c:formatCode>
                <c:ptCount val="25"/>
                <c:pt idx="0">
                  <c:v>1.0040082325309363E-8</c:v>
                </c:pt>
                <c:pt idx="1">
                  <c:v>2.3888126234937415E-8</c:v>
                </c:pt>
                <c:pt idx="2">
                  <c:v>2.7331037556707518E-8</c:v>
                </c:pt>
                <c:pt idx="3">
                  <c:v>2.6149679391360088E-8</c:v>
                </c:pt>
                <c:pt idx="4">
                  <c:v>3.2228870859570512E-8</c:v>
                </c:pt>
                <c:pt idx="5">
                  <c:v>2.7425171301304747E-8</c:v>
                </c:pt>
                <c:pt idx="6">
                  <c:v>2.2188914115849252E-8</c:v>
                </c:pt>
                <c:pt idx="7">
                  <c:v>2.5227435558458157E-8</c:v>
                </c:pt>
                <c:pt idx="8">
                  <c:v>1.6617032191709357E-8</c:v>
                </c:pt>
                <c:pt idx="9">
                  <c:v>1.4803993357562668E-8</c:v>
                </c:pt>
                <c:pt idx="10">
                  <c:v>2.0910852975910728E-8</c:v>
                </c:pt>
                <c:pt idx="11">
                  <c:v>2.625832223944329E-8</c:v>
                </c:pt>
                <c:pt idx="12">
                  <c:v>2.1778819130424205E-8</c:v>
                </c:pt>
                <c:pt idx="13">
                  <c:v>2.8991518320922124E-8</c:v>
                </c:pt>
                <c:pt idx="14">
                  <c:v>2.6187007426304777E-8</c:v>
                </c:pt>
                <c:pt idx="15">
                  <c:v>3.8779946835597979E-8</c:v>
                </c:pt>
                <c:pt idx="16">
                  <c:v>2.5496691966609185E-8</c:v>
                </c:pt>
                <c:pt idx="17">
                  <c:v>3.740310717431883E-8</c:v>
                </c:pt>
                <c:pt idx="18">
                  <c:v>3.2558852754044578E-8</c:v>
                </c:pt>
                <c:pt idx="19">
                  <c:v>3.9086083933224863E-8</c:v>
                </c:pt>
                <c:pt idx="20">
                  <c:v>4.3936103316899438E-8</c:v>
                </c:pt>
                <c:pt idx="21">
                  <c:v>8.3339254007442161E-8</c:v>
                </c:pt>
                <c:pt idx="22">
                  <c:v>1.7855642627208767E-7</c:v>
                </c:pt>
                <c:pt idx="23">
                  <c:v>1.7647056619521082E-7</c:v>
                </c:pt>
                <c:pt idx="24">
                  <c:v>1.4240282329142995E-7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53648"/>
        <c:axId val="519153256"/>
      </c:lineChart>
      <c:catAx>
        <c:axId val="519152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2864"/>
        <c:crosses val="autoZero"/>
        <c:auto val="1"/>
        <c:lblAlgn val="ctr"/>
        <c:lblOffset val="100"/>
        <c:noMultiLvlLbl val="0"/>
      </c:catAx>
      <c:valAx>
        <c:axId val="5191528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2472"/>
        <c:crosses val="autoZero"/>
        <c:crossBetween val="between"/>
      </c:valAx>
      <c:valAx>
        <c:axId val="5191532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3648"/>
        <c:crosses val="max"/>
        <c:crossBetween val="between"/>
      </c:valAx>
      <c:catAx>
        <c:axId val="519153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153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07'!$C$35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07'!$A$36:$A$60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54432"/>
        <c:axId val="519154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07'!$B$35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07'!$A$36:$A$60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07'!$B$36:$B$60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0.61987899999999996</c:v>
                      </c:pt>
                      <c:pt idx="1">
                        <c:v>1.5621160000000001</c:v>
                      </c:pt>
                      <c:pt idx="2">
                        <c:v>1.8800250000000001</c:v>
                      </c:pt>
                      <c:pt idx="3">
                        <c:v>1.911216</c:v>
                      </c:pt>
                      <c:pt idx="4">
                        <c:v>2.47004</c:v>
                      </c:pt>
                      <c:pt idx="5">
                        <c:v>2.2214939999999999</c:v>
                      </c:pt>
                      <c:pt idx="6">
                        <c:v>1.9101360000000001</c:v>
                      </c:pt>
                      <c:pt idx="7">
                        <c:v>2.292964</c:v>
                      </c:pt>
                      <c:pt idx="8">
                        <c:v>1.6053090000000001</c:v>
                      </c:pt>
                      <c:pt idx="9">
                        <c:v>1.5225580000000001</c:v>
                      </c:pt>
                      <c:pt idx="10">
                        <c:v>2.221114</c:v>
                      </c:pt>
                      <c:pt idx="11">
                        <c:v>2.882511</c:v>
                      </c:pt>
                      <c:pt idx="12">
                        <c:v>2.506888</c:v>
                      </c:pt>
                      <c:pt idx="13">
                        <c:v>3.5586880000000001</c:v>
                      </c:pt>
                      <c:pt idx="14">
                        <c:v>3.428855</c:v>
                      </c:pt>
                      <c:pt idx="15">
                        <c:v>5.3733060000000004</c:v>
                      </c:pt>
                      <c:pt idx="16">
                        <c:v>3.6913179999999999</c:v>
                      </c:pt>
                      <c:pt idx="17">
                        <c:v>5.5052070000000004</c:v>
                      </c:pt>
                      <c:pt idx="18">
                        <c:v>4.6945759999999996</c:v>
                      </c:pt>
                      <c:pt idx="19">
                        <c:v>5.8489870000000002</c:v>
                      </c:pt>
                      <c:pt idx="20">
                        <c:v>6.8179720000000001</c:v>
                      </c:pt>
                      <c:pt idx="21">
                        <c:v>13.463668999999999</c:v>
                      </c:pt>
                      <c:pt idx="22">
                        <c:v>29.753143000000001</c:v>
                      </c:pt>
                      <c:pt idx="23">
                        <c:v>30.614239999999999</c:v>
                      </c:pt>
                      <c:pt idx="24">
                        <c:v>25.557029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07'!$D$35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07'!$A$36:$A$60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07'!$D$36:$D$60</c:f>
              <c:numCache>
                <c:formatCode>0.000000%</c:formatCode>
                <c:ptCount val="25"/>
                <c:pt idx="0">
                  <c:v>1.503117709294373E-7</c:v>
                </c:pt>
                <c:pt idx="1">
                  <c:v>3.1699049185252497E-7</c:v>
                </c:pt>
                <c:pt idx="2">
                  <c:v>3.3690670650438703E-7</c:v>
                </c:pt>
                <c:pt idx="3">
                  <c:v>2.3392095558203892E-7</c:v>
                </c:pt>
                <c:pt idx="4">
                  <c:v>2.6701034327140278E-7</c:v>
                </c:pt>
                <c:pt idx="5">
                  <c:v>2.2864259458195499E-7</c:v>
                </c:pt>
                <c:pt idx="6">
                  <c:v>1.7908726905557875E-7</c:v>
                </c:pt>
                <c:pt idx="7">
                  <c:v>2.3292125285755525E-7</c:v>
                </c:pt>
                <c:pt idx="8">
                  <c:v>1.8626065526292516E-7</c:v>
                </c:pt>
                <c:pt idx="9">
                  <c:v>1.5242868831385144E-7</c:v>
                </c:pt>
                <c:pt idx="10">
                  <c:v>2.2617452361679551E-7</c:v>
                </c:pt>
                <c:pt idx="11">
                  <c:v>2.9433382533193572E-7</c:v>
                </c:pt>
                <c:pt idx="12">
                  <c:v>2.647620057952784E-7</c:v>
                </c:pt>
                <c:pt idx="13">
                  <c:v>3.039668663583096E-7</c:v>
                </c:pt>
                <c:pt idx="14">
                  <c:v>2.3394571522579039E-7</c:v>
                </c:pt>
                <c:pt idx="15">
                  <c:v>3.3048165150264914E-7</c:v>
                </c:pt>
                <c:pt idx="16">
                  <c:v>1.7796646338877029E-7</c:v>
                </c:pt>
                <c:pt idx="17">
                  <c:v>2.2563947831828606E-7</c:v>
                </c:pt>
                <c:pt idx="18">
                  <c:v>2.0077591564000976E-7</c:v>
                </c:pt>
                <c:pt idx="19">
                  <c:v>2.0378454443179596E-7</c:v>
                </c:pt>
                <c:pt idx="20">
                  <c:v>2.0326964550542514E-7</c:v>
                </c:pt>
                <c:pt idx="21">
                  <c:v>3.6421792763243854E-7</c:v>
                </c:pt>
                <c:pt idx="22">
                  <c:v>7.8258228067392114E-7</c:v>
                </c:pt>
                <c:pt idx="23">
                  <c:v>8.0901014594524659E-7</c:v>
                </c:pt>
                <c:pt idx="24">
                  <c:v>8.7500052663918047E-7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55608"/>
        <c:axId val="519155216"/>
      </c:lineChart>
      <c:catAx>
        <c:axId val="519154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4824"/>
        <c:crosses val="autoZero"/>
        <c:auto val="1"/>
        <c:lblAlgn val="ctr"/>
        <c:lblOffset val="100"/>
        <c:noMultiLvlLbl val="0"/>
      </c:catAx>
      <c:valAx>
        <c:axId val="51915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Millones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4432"/>
        <c:crosses val="autoZero"/>
        <c:crossBetween val="between"/>
      </c:valAx>
      <c:valAx>
        <c:axId val="5191552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5608"/>
        <c:crosses val="max"/>
        <c:crossBetween val="between"/>
      </c:valAx>
      <c:catAx>
        <c:axId val="519155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155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07'!$C$95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07'!$A$96:$A$120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56392"/>
        <c:axId val="519156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07'!$B$95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de Colombia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07'!$A$96:$A$120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07'!$B$96:$B$120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356.33337599999999</c:v>
                      </c:pt>
                      <c:pt idx="1">
                        <c:v>373.66137600000002</c:v>
                      </c:pt>
                      <c:pt idx="2">
                        <c:v>235.826752</c:v>
                      </c:pt>
                      <c:pt idx="3">
                        <c:v>362.19535999999999</c:v>
                      </c:pt>
                      <c:pt idx="4">
                        <c:v>414.26508799999999</c:v>
                      </c:pt>
                      <c:pt idx="5">
                        <c:v>412.33942400000001</c:v>
                      </c:pt>
                      <c:pt idx="6">
                        <c:v>703.16601600000001</c:v>
                      </c:pt>
                      <c:pt idx="7">
                        <c:v>572.62649599999997</c:v>
                      </c:pt>
                      <c:pt idx="8">
                        <c:v>469.02096</c:v>
                      </c:pt>
                      <c:pt idx="9">
                        <c:v>389.229713</c:v>
                      </c:pt>
                      <c:pt idx="10">
                        <c:v>279.14183400000002</c:v>
                      </c:pt>
                      <c:pt idx="11">
                        <c:v>296.84640100000001</c:v>
                      </c:pt>
                      <c:pt idx="12">
                        <c:v>324.63494900000001</c:v>
                      </c:pt>
                      <c:pt idx="13">
                        <c:v>380.21622500000001</c:v>
                      </c:pt>
                      <c:pt idx="14">
                        <c:v>586.29403300000001</c:v>
                      </c:pt>
                      <c:pt idx="15">
                        <c:v>579.43696</c:v>
                      </c:pt>
                      <c:pt idx="16">
                        <c:v>658.19860600000004</c:v>
                      </c:pt>
                      <c:pt idx="17">
                        <c:v>784.02828799999997</c:v>
                      </c:pt>
                      <c:pt idx="18">
                        <c:v>767.05405399999995</c:v>
                      </c:pt>
                      <c:pt idx="19">
                        <c:v>879.24043200000006</c:v>
                      </c:pt>
                      <c:pt idx="20">
                        <c:v>1253.501368</c:v>
                      </c:pt>
                      <c:pt idx="21">
                        <c:v>925.35675600000002</c:v>
                      </c:pt>
                      <c:pt idx="22">
                        <c:v>959.63503200000002</c:v>
                      </c:pt>
                      <c:pt idx="23">
                        <c:v>1138.514244</c:v>
                      </c:pt>
                      <c:pt idx="24">
                        <c:v>1178.3594880000001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07'!$D$95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07'!$A$96:$A$120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07'!$D$96:$D$120</c:f>
              <c:numCache>
                <c:formatCode>0.00000%</c:formatCode>
                <c:ptCount val="25"/>
                <c:pt idx="0">
                  <c:v>5.7714754497174707E-6</c:v>
                </c:pt>
                <c:pt idx="1">
                  <c:v>5.7140891707199809E-6</c:v>
                </c:pt>
                <c:pt idx="2">
                  <c:v>3.4283532483814569E-6</c:v>
                </c:pt>
                <c:pt idx="3">
                  <c:v>4.9556369039597029E-6</c:v>
                </c:pt>
                <c:pt idx="4">
                  <c:v>5.4052954700250252E-6</c:v>
                </c:pt>
                <c:pt idx="5">
                  <c:v>5.090483853425366E-6</c:v>
                </c:pt>
                <c:pt idx="6">
                  <c:v>8.1682614945783343E-6</c:v>
                </c:pt>
                <c:pt idx="7">
                  <c:v>6.3000980507786854E-6</c:v>
                </c:pt>
                <c:pt idx="8">
                  <c:v>4.8549758276484009E-6</c:v>
                </c:pt>
                <c:pt idx="9">
                  <c:v>3.7845218939561075E-6</c:v>
                </c:pt>
                <c:pt idx="10">
                  <c:v>2.6280028175951703E-6</c:v>
                </c:pt>
                <c:pt idx="11">
                  <c:v>2.7041313816589077E-6</c:v>
                </c:pt>
                <c:pt idx="12">
                  <c:v>2.8202958559319309E-6</c:v>
                </c:pt>
                <c:pt idx="13">
                  <c:v>3.0975026900361457E-6</c:v>
                </c:pt>
                <c:pt idx="14">
                  <c:v>4.4776714664718049E-6</c:v>
                </c:pt>
                <c:pt idx="15">
                  <c:v>4.1818825325377917E-6</c:v>
                </c:pt>
                <c:pt idx="16">
                  <c:v>4.5463130269550242E-6</c:v>
                </c:pt>
                <c:pt idx="17">
                  <c:v>5.3267922684399894E-6</c:v>
                </c:pt>
                <c:pt idx="18">
                  <c:v>5.3198414507676436E-6</c:v>
                </c:pt>
                <c:pt idx="19">
                  <c:v>5.8755585065647933E-6</c:v>
                </c:pt>
                <c:pt idx="20">
                  <c:v>8.0777635361838949E-6</c:v>
                </c:pt>
                <c:pt idx="21">
                  <c:v>5.7278994110585074E-6</c:v>
                </c:pt>
                <c:pt idx="22">
                  <c:v>5.7590218902057001E-6</c:v>
                </c:pt>
                <c:pt idx="23">
                  <c:v>6.5627712221499673E-6</c:v>
                </c:pt>
                <c:pt idx="24">
                  <c:v>6.5657756206108251E-6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57568"/>
        <c:axId val="519157176"/>
      </c:lineChart>
      <c:catAx>
        <c:axId val="519156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6784"/>
        <c:crosses val="autoZero"/>
        <c:auto val="1"/>
        <c:lblAlgn val="ctr"/>
        <c:lblOffset val="100"/>
        <c:noMultiLvlLbl val="0"/>
      </c:catAx>
      <c:valAx>
        <c:axId val="51915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6392"/>
        <c:crosses val="autoZero"/>
        <c:crossBetween val="between"/>
      </c:valAx>
      <c:valAx>
        <c:axId val="519157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7568"/>
        <c:crosses val="max"/>
        <c:crossBetween val="between"/>
      </c:valAx>
      <c:catAx>
        <c:axId val="519157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157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00'!$D$5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00'!$D$6:$D$30</c:f>
              <c:numCache>
                <c:formatCode>"$"\ #,##0.00</c:formatCode>
                <c:ptCount val="25"/>
                <c:pt idx="0">
                  <c:v>2.1076399266506406E-2</c:v>
                </c:pt>
                <c:pt idx="1">
                  <c:v>3.9812910356538993E-2</c:v>
                </c:pt>
                <c:pt idx="2">
                  <c:v>5.5472588421036001E-2</c:v>
                </c:pt>
                <c:pt idx="3">
                  <c:v>5.5151089145098732E-2</c:v>
                </c:pt>
                <c:pt idx="4">
                  <c:v>5.5817082879396629E-2</c:v>
                </c:pt>
                <c:pt idx="5">
                  <c:v>5.1323406373586247E-2</c:v>
                </c:pt>
                <c:pt idx="6">
                  <c:v>2.8202963938188656E-2</c:v>
                </c:pt>
                <c:pt idx="7">
                  <c:v>2.4080135245465702E-2</c:v>
                </c:pt>
                <c:pt idx="8">
                  <c:v>4.6389050630193739E-2</c:v>
                </c:pt>
                <c:pt idx="9">
                  <c:v>4.446732758145109E-2</c:v>
                </c:pt>
                <c:pt idx="10">
                  <c:v>4.7956387807664126E-2</c:v>
                </c:pt>
                <c:pt idx="11">
                  <c:v>2.9928821589503732E-2</c:v>
                </c:pt>
                <c:pt idx="12">
                  <c:v>3.444965022905349E-2</c:v>
                </c:pt>
                <c:pt idx="13">
                  <c:v>5.0076154474142327E-2</c:v>
                </c:pt>
                <c:pt idx="14">
                  <c:v>8.0441460983377594E-2</c:v>
                </c:pt>
                <c:pt idx="15">
                  <c:v>4.500956043912499E-2</c:v>
                </c:pt>
                <c:pt idx="16">
                  <c:v>6.0093889103879757E-2</c:v>
                </c:pt>
                <c:pt idx="17">
                  <c:v>3.8634008701732718E-2</c:v>
                </c:pt>
                <c:pt idx="18">
                  <c:v>3.5030500569690204E-2</c:v>
                </c:pt>
                <c:pt idx="19">
                  <c:v>3.3067606155222161E-2</c:v>
                </c:pt>
                <c:pt idx="20">
                  <c:v>2.1125734155020694E-2</c:v>
                </c:pt>
                <c:pt idx="21">
                  <c:v>2.2654287274244289E-2</c:v>
                </c:pt>
                <c:pt idx="22">
                  <c:v>2.9783246308250647E-2</c:v>
                </c:pt>
                <c:pt idx="23">
                  <c:v>3.5828639828380748E-2</c:v>
                </c:pt>
                <c:pt idx="24">
                  <c:v>4.8410418309660905E-2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00'!$D$35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00'!$D$36:$D$60</c:f>
              <c:numCache>
                <c:formatCode>"$"\ #,##0.00</c:formatCode>
                <c:ptCount val="25"/>
                <c:pt idx="0">
                  <c:v>5.1862315201847115E-2</c:v>
                </c:pt>
                <c:pt idx="1">
                  <c:v>8.8754351658486511E-2</c:v>
                </c:pt>
                <c:pt idx="2">
                  <c:v>8.8802646154451215E-2</c:v>
                </c:pt>
                <c:pt idx="3">
                  <c:v>0.12142488021282954</c:v>
                </c:pt>
                <c:pt idx="4">
                  <c:v>0.10653974692267737</c:v>
                </c:pt>
                <c:pt idx="5">
                  <c:v>0.141320661289454</c:v>
                </c:pt>
                <c:pt idx="6">
                  <c:v>9.8900910041960943E-2</c:v>
                </c:pt>
                <c:pt idx="7">
                  <c:v>9.0308514172048229E-2</c:v>
                </c:pt>
                <c:pt idx="8">
                  <c:v>8.3780018714952567E-2</c:v>
                </c:pt>
                <c:pt idx="9">
                  <c:v>6.0137315862791141E-2</c:v>
                </c:pt>
                <c:pt idx="10">
                  <c:v>8.4743688375385026E-2</c:v>
                </c:pt>
                <c:pt idx="11">
                  <c:v>8.458709108200127E-2</c:v>
                </c:pt>
                <c:pt idx="12">
                  <c:v>0.10087321407445285</c:v>
                </c:pt>
                <c:pt idx="13">
                  <c:v>5.3531717876462388E-2</c:v>
                </c:pt>
                <c:pt idx="14">
                  <c:v>8.8032617158427584E-2</c:v>
                </c:pt>
                <c:pt idx="15">
                  <c:v>8.6843565892201519E-2</c:v>
                </c:pt>
                <c:pt idx="16">
                  <c:v>9.6061051752559357E-2</c:v>
                </c:pt>
                <c:pt idx="17">
                  <c:v>0.11042201003272199</c:v>
                </c:pt>
                <c:pt idx="18">
                  <c:v>0.10662633480567037</c:v>
                </c:pt>
                <c:pt idx="19">
                  <c:v>2.0050853464184597E-2</c:v>
                </c:pt>
                <c:pt idx="20">
                  <c:v>3.4999630032628584E-2</c:v>
                </c:pt>
                <c:pt idx="21">
                  <c:v>3.7242574211833662E-2</c:v>
                </c:pt>
                <c:pt idx="22">
                  <c:v>3.5073955952079121E-2</c:v>
                </c:pt>
                <c:pt idx="23">
                  <c:v>2.6160957833998126E-2</c:v>
                </c:pt>
                <c:pt idx="24">
                  <c:v>1.0797328528970099E-2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00'!$D$64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00'!$D$65:$D$89</c:f>
              <c:numCache>
                <c:formatCode>"$"\ #,##0.00</c:formatCode>
                <c:ptCount val="25"/>
                <c:pt idx="0">
                  <c:v>7.293871446835351E-2</c:v>
                </c:pt>
                <c:pt idx="1">
                  <c:v>0.12856726201502552</c:v>
                </c:pt>
                <c:pt idx="2">
                  <c:v>0.14427523457548722</c:v>
                </c:pt>
                <c:pt idx="3">
                  <c:v>0.17657596935792827</c:v>
                </c:pt>
                <c:pt idx="4">
                  <c:v>0.16235682980207397</c:v>
                </c:pt>
                <c:pt idx="5">
                  <c:v>0.19264406766304026</c:v>
                </c:pt>
                <c:pt idx="6">
                  <c:v>0.12710387398014961</c:v>
                </c:pt>
                <c:pt idx="7">
                  <c:v>0.11438864941751391</c:v>
                </c:pt>
                <c:pt idx="8">
                  <c:v>0.1301690693451463</c:v>
                </c:pt>
                <c:pt idx="9">
                  <c:v>0.10460464344424224</c:v>
                </c:pt>
                <c:pt idx="10">
                  <c:v>0.13270007618304916</c:v>
                </c:pt>
                <c:pt idx="11">
                  <c:v>0.114515912671505</c:v>
                </c:pt>
                <c:pt idx="12">
                  <c:v>0.13532286430350635</c:v>
                </c:pt>
                <c:pt idx="13">
                  <c:v>0.10360787235060472</c:v>
                </c:pt>
                <c:pt idx="14">
                  <c:v>0.16847407814180518</c:v>
                </c:pt>
                <c:pt idx="15">
                  <c:v>0.13185312633132651</c:v>
                </c:pt>
                <c:pt idx="16">
                  <c:v>0.15615494085643913</c:v>
                </c:pt>
                <c:pt idx="17">
                  <c:v>0.14905601873445473</c:v>
                </c:pt>
                <c:pt idx="18">
                  <c:v>0.14165683537536056</c:v>
                </c:pt>
                <c:pt idx="19">
                  <c:v>5.3118459619406762E-2</c:v>
                </c:pt>
                <c:pt idx="20">
                  <c:v>5.6125364187649268E-2</c:v>
                </c:pt>
                <c:pt idx="21">
                  <c:v>5.9896861486077944E-2</c:v>
                </c:pt>
                <c:pt idx="22">
                  <c:v>6.485720226032976E-2</c:v>
                </c:pt>
                <c:pt idx="23">
                  <c:v>6.1989597662378874E-2</c:v>
                </c:pt>
                <c:pt idx="24">
                  <c:v>5.9207746838631004E-2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789040"/>
        <c:axId val="503077480"/>
      </c:lineChart>
      <c:catAx>
        <c:axId val="51178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3077480"/>
        <c:crosses val="autoZero"/>
        <c:auto val="1"/>
        <c:lblAlgn val="ctr"/>
        <c:lblOffset val="100"/>
        <c:noMultiLvlLbl val="0"/>
      </c:catAx>
      <c:valAx>
        <c:axId val="503077480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789040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07'!$C$124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07'!$A$125:$A$149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58352"/>
        <c:axId val="5191587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07'!$B$124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07'!$A$125:$A$149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07'!$B$125:$B$149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356.95325500000001</c:v>
                      </c:pt>
                      <c:pt idx="1">
                        <c:v>375.22349200000002</c:v>
                      </c:pt>
                      <c:pt idx="2">
                        <c:v>237.70677699999999</c:v>
                      </c:pt>
                      <c:pt idx="3">
                        <c:v>364.10657600000002</c:v>
                      </c:pt>
                      <c:pt idx="4">
                        <c:v>416.73512799999997</c:v>
                      </c:pt>
                      <c:pt idx="5">
                        <c:v>414.56091800000002</c:v>
                      </c:pt>
                      <c:pt idx="6">
                        <c:v>705.07615199999998</c:v>
                      </c:pt>
                      <c:pt idx="7">
                        <c:v>574.91945999999996</c:v>
                      </c:pt>
                      <c:pt idx="8">
                        <c:v>470.62626899999998</c:v>
                      </c:pt>
                      <c:pt idx="9">
                        <c:v>390.75227100000001</c:v>
                      </c:pt>
                      <c:pt idx="10">
                        <c:v>281.36294800000002</c:v>
                      </c:pt>
                      <c:pt idx="11">
                        <c:v>299.72891200000004</c:v>
                      </c:pt>
                      <c:pt idx="12">
                        <c:v>327.14183700000001</c:v>
                      </c:pt>
                      <c:pt idx="13">
                        <c:v>383.77491300000003</c:v>
                      </c:pt>
                      <c:pt idx="14">
                        <c:v>589.72288800000001</c:v>
                      </c:pt>
                      <c:pt idx="15">
                        <c:v>584.81026599999996</c:v>
                      </c:pt>
                      <c:pt idx="16">
                        <c:v>661.88992400000006</c:v>
                      </c:pt>
                      <c:pt idx="17">
                        <c:v>789.53349500000002</c:v>
                      </c:pt>
                      <c:pt idx="18">
                        <c:v>771.74862999999993</c:v>
                      </c:pt>
                      <c:pt idx="19">
                        <c:v>885.08941900000002</c:v>
                      </c:pt>
                      <c:pt idx="20">
                        <c:v>1260.31934</c:v>
                      </c:pt>
                      <c:pt idx="21">
                        <c:v>938.820425</c:v>
                      </c:pt>
                      <c:pt idx="22">
                        <c:v>989.38817500000005</c:v>
                      </c:pt>
                      <c:pt idx="23">
                        <c:v>1169.1284840000001</c:v>
                      </c:pt>
                      <c:pt idx="24">
                        <c:v>1203.9165170000001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07'!$D$124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07'!$A$125:$A$149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07'!$D$125:$D$149</c:f>
              <c:numCache>
                <c:formatCode>0.0000%</c:formatCode>
                <c:ptCount val="25"/>
                <c:pt idx="0">
                  <c:v>8.6556047064147992E-5</c:v>
                </c:pt>
                <c:pt idx="1">
                  <c:v>7.614177134329459E-5</c:v>
                </c:pt>
                <c:pt idx="2">
                  <c:v>4.2597841705744754E-5</c:v>
                </c:pt>
                <c:pt idx="3">
                  <c:v>4.4564381101677819E-5</c:v>
                </c:pt>
                <c:pt idx="4">
                  <c:v>4.5048901872249827E-5</c:v>
                </c:pt>
                <c:pt idx="5">
                  <c:v>4.2667809998045054E-5</c:v>
                </c:pt>
                <c:pt idx="6">
                  <c:v>6.6105325766278487E-5</c:v>
                </c:pt>
                <c:pt idx="7">
                  <c:v>5.8400812623045599E-5</c:v>
                </c:pt>
                <c:pt idx="8">
                  <c:v>5.4605784461362693E-5</c:v>
                </c:pt>
                <c:pt idx="9">
                  <c:v>3.9119597495917139E-5</c:v>
                </c:pt>
                <c:pt idx="10">
                  <c:v>2.8650997079536308E-5</c:v>
                </c:pt>
                <c:pt idx="11">
                  <c:v>3.0605384413637657E-5</c:v>
                </c:pt>
                <c:pt idx="12">
                  <c:v>3.4550697495728587E-5</c:v>
                </c:pt>
                <c:pt idx="13">
                  <c:v>3.2780299282078932E-5</c:v>
                </c:pt>
                <c:pt idx="14">
                  <c:v>4.0235922142574902E-5</c:v>
                </c:pt>
                <c:pt idx="15">
                  <c:v>3.5968370780183288E-5</c:v>
                </c:pt>
                <c:pt idx="16">
                  <c:v>3.1911151769352294E-5</c:v>
                </c:pt>
                <c:pt idx="17">
                  <c:v>3.2360259283004818E-5</c:v>
                </c:pt>
                <c:pt idx="18">
                  <c:v>3.3005864178612316E-5</c:v>
                </c:pt>
                <c:pt idx="19">
                  <c:v>3.0837398686698736E-5</c:v>
                </c:pt>
                <c:pt idx="20">
                  <c:v>3.75749072400754E-5</c:v>
                </c:pt>
                <c:pt idx="21">
                  <c:v>2.5396883242785099E-5</c:v>
                </c:pt>
                <c:pt idx="22">
                  <c:v>2.6023390351174281E-5</c:v>
                </c:pt>
                <c:pt idx="23">
                  <c:v>3.0895322094214488E-5</c:v>
                </c:pt>
                <c:pt idx="24">
                  <c:v>4.121870294096423E-5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59528"/>
        <c:axId val="519159136"/>
      </c:lineChart>
      <c:catAx>
        <c:axId val="51915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8744"/>
        <c:crosses val="autoZero"/>
        <c:auto val="1"/>
        <c:lblAlgn val="ctr"/>
        <c:lblOffset val="100"/>
        <c:noMultiLvlLbl val="0"/>
      </c:catAx>
      <c:valAx>
        <c:axId val="51915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8352"/>
        <c:crosses val="autoZero"/>
        <c:crossBetween val="between"/>
        <c:majorUnit val="80000"/>
      </c:valAx>
      <c:valAx>
        <c:axId val="519159136"/>
        <c:scaling>
          <c:orientation val="minMax"/>
          <c:max val="1.0000000000000005E-4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159528"/>
        <c:crosses val="max"/>
        <c:crossBetween val="between"/>
        <c:majorUnit val="2.0000000000000008E-5"/>
      </c:valAx>
      <c:catAx>
        <c:axId val="519159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159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07'!$C$153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07'!$A$154:$A$178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094344"/>
        <c:axId val="509094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07'!$B$153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07'!$A$154:$A$178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07'!$B$154:$B$178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356.95325500000001</c:v>
                      </c:pt>
                      <c:pt idx="1">
                        <c:v>375.22349200000002</c:v>
                      </c:pt>
                      <c:pt idx="2">
                        <c:v>237.70677699999999</c:v>
                      </c:pt>
                      <c:pt idx="3">
                        <c:v>364.10657600000002</c:v>
                      </c:pt>
                      <c:pt idx="4">
                        <c:v>416.73512799999997</c:v>
                      </c:pt>
                      <c:pt idx="5">
                        <c:v>414.56091800000002</c:v>
                      </c:pt>
                      <c:pt idx="6">
                        <c:v>705.07615199999998</c:v>
                      </c:pt>
                      <c:pt idx="7">
                        <c:v>574.91945999999996</c:v>
                      </c:pt>
                      <c:pt idx="8">
                        <c:v>470.62626899999998</c:v>
                      </c:pt>
                      <c:pt idx="9">
                        <c:v>390.75227100000001</c:v>
                      </c:pt>
                      <c:pt idx="10">
                        <c:v>281.36294800000002</c:v>
                      </c:pt>
                      <c:pt idx="11">
                        <c:v>299.72891200000004</c:v>
                      </c:pt>
                      <c:pt idx="12">
                        <c:v>327.14183700000001</c:v>
                      </c:pt>
                      <c:pt idx="13">
                        <c:v>383.77491300000003</c:v>
                      </c:pt>
                      <c:pt idx="14">
                        <c:v>589.72288800000001</c:v>
                      </c:pt>
                      <c:pt idx="15">
                        <c:v>584.81026599999996</c:v>
                      </c:pt>
                      <c:pt idx="16">
                        <c:v>661.88992400000006</c:v>
                      </c:pt>
                      <c:pt idx="17">
                        <c:v>789.53349500000002</c:v>
                      </c:pt>
                      <c:pt idx="18">
                        <c:v>771.74862999999993</c:v>
                      </c:pt>
                      <c:pt idx="19">
                        <c:v>885.08941900000002</c:v>
                      </c:pt>
                      <c:pt idx="20">
                        <c:v>1260.31934</c:v>
                      </c:pt>
                      <c:pt idx="21">
                        <c:v>938.820425</c:v>
                      </c:pt>
                      <c:pt idx="22">
                        <c:v>989.38817500000005</c:v>
                      </c:pt>
                      <c:pt idx="23">
                        <c:v>1169.1284840000001</c:v>
                      </c:pt>
                      <c:pt idx="24">
                        <c:v>1203.9165170000001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07'!$D$153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07'!$A$154:$A$178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07'!$D$154:$D$178</c:f>
              <c:numCache>
                <c:formatCode>0.00000%</c:formatCode>
                <c:ptCount val="25"/>
                <c:pt idx="0">
                  <c:v>5.7815155320427799E-6</c:v>
                </c:pt>
                <c:pt idx="1">
                  <c:v>5.7379772969549184E-6</c:v>
                </c:pt>
                <c:pt idx="2">
                  <c:v>3.4556842859381647E-6</c:v>
                </c:pt>
                <c:pt idx="3">
                  <c:v>4.9817865833510634E-6</c:v>
                </c:pt>
                <c:pt idx="4">
                  <c:v>5.4375243408845961E-6</c:v>
                </c:pt>
                <c:pt idx="5">
                  <c:v>5.1179090247266707E-6</c:v>
                </c:pt>
                <c:pt idx="6">
                  <c:v>8.1904504086941836E-6</c:v>
                </c:pt>
                <c:pt idx="7">
                  <c:v>6.3253254863371426E-6</c:v>
                </c:pt>
                <c:pt idx="8">
                  <c:v>4.8715928598401098E-6</c:v>
                </c:pt>
                <c:pt idx="9">
                  <c:v>3.7993258873136696E-6</c:v>
                </c:pt>
                <c:pt idx="10">
                  <c:v>2.648913670571081E-6</c:v>
                </c:pt>
                <c:pt idx="11">
                  <c:v>2.730389703898351E-6</c:v>
                </c:pt>
                <c:pt idx="12">
                  <c:v>2.8420746750623552E-6</c:v>
                </c:pt>
                <c:pt idx="13">
                  <c:v>3.1264942083570674E-6</c:v>
                </c:pt>
                <c:pt idx="14">
                  <c:v>4.5038584738981097E-6</c:v>
                </c:pt>
                <c:pt idx="15">
                  <c:v>4.22066247937339E-6</c:v>
                </c:pt>
                <c:pt idx="16">
                  <c:v>4.5718097189216336E-6</c:v>
                </c:pt>
                <c:pt idx="17">
                  <c:v>5.3641953756143082E-6</c:v>
                </c:pt>
                <c:pt idx="18">
                  <c:v>5.3524003035216882E-6</c:v>
                </c:pt>
                <c:pt idx="19">
                  <c:v>5.9146445904980184E-6</c:v>
                </c:pt>
                <c:pt idx="20">
                  <c:v>8.1216996395007944E-6</c:v>
                </c:pt>
                <c:pt idx="21">
                  <c:v>5.8112386650659495E-6</c:v>
                </c:pt>
                <c:pt idx="22">
                  <c:v>5.937578316477787E-6</c:v>
                </c:pt>
                <c:pt idx="23">
                  <c:v>6.739241788345178E-6</c:v>
                </c:pt>
                <c:pt idx="24">
                  <c:v>6.7081784439022564E-6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095520"/>
        <c:axId val="509095128"/>
      </c:lineChart>
      <c:catAx>
        <c:axId val="509094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094736"/>
        <c:crosses val="autoZero"/>
        <c:auto val="1"/>
        <c:lblAlgn val="ctr"/>
        <c:lblOffset val="100"/>
        <c:noMultiLvlLbl val="0"/>
      </c:catAx>
      <c:valAx>
        <c:axId val="50909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094344"/>
        <c:crosses val="autoZero"/>
        <c:crossBetween val="between"/>
        <c:majorUnit val="4000"/>
      </c:valAx>
      <c:valAx>
        <c:axId val="5090951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095520"/>
        <c:crosses val="max"/>
        <c:crossBetween val="between"/>
      </c:valAx>
      <c:catAx>
        <c:axId val="50909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095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07'!$D$183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07'!$A$184:$A$208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096304"/>
        <c:axId val="5090966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07'!$B$183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07'!$A$184:$A$208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07'!$B$184:$B$208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356.95325500000001</c:v>
                      </c:pt>
                      <c:pt idx="1">
                        <c:v>375.22349200000002</c:v>
                      </c:pt>
                      <c:pt idx="2">
                        <c:v>237.70677699999999</c:v>
                      </c:pt>
                      <c:pt idx="3">
                        <c:v>364.10657600000002</c:v>
                      </c:pt>
                      <c:pt idx="4">
                        <c:v>416.73512799999997</c:v>
                      </c:pt>
                      <c:pt idx="5">
                        <c:v>414.56091800000002</c:v>
                      </c:pt>
                      <c:pt idx="6">
                        <c:v>705.07615199999998</c:v>
                      </c:pt>
                      <c:pt idx="7">
                        <c:v>574.91945999999996</c:v>
                      </c:pt>
                      <c:pt idx="8">
                        <c:v>470.62626899999998</c:v>
                      </c:pt>
                      <c:pt idx="9">
                        <c:v>390.75227100000001</c:v>
                      </c:pt>
                      <c:pt idx="10">
                        <c:v>281.36294800000002</c:v>
                      </c:pt>
                      <c:pt idx="11">
                        <c:v>299.72891200000004</c:v>
                      </c:pt>
                      <c:pt idx="12">
                        <c:v>327.14183700000001</c:v>
                      </c:pt>
                      <c:pt idx="13">
                        <c:v>383.77491300000003</c:v>
                      </c:pt>
                      <c:pt idx="14">
                        <c:v>589.72288800000001</c:v>
                      </c:pt>
                      <c:pt idx="15">
                        <c:v>584.81026599999996</c:v>
                      </c:pt>
                      <c:pt idx="16">
                        <c:v>661.88992400000006</c:v>
                      </c:pt>
                      <c:pt idx="17">
                        <c:v>789.53349500000002</c:v>
                      </c:pt>
                      <c:pt idx="18">
                        <c:v>771.74862999999993</c:v>
                      </c:pt>
                      <c:pt idx="19">
                        <c:v>885.08941900000002</c:v>
                      </c:pt>
                      <c:pt idx="20">
                        <c:v>1260.31934</c:v>
                      </c:pt>
                      <c:pt idx="21">
                        <c:v>938.820425</c:v>
                      </c:pt>
                      <c:pt idx="22">
                        <c:v>989.38817500000005</c:v>
                      </c:pt>
                      <c:pt idx="23">
                        <c:v>1169.1284840000001</c:v>
                      </c:pt>
                      <c:pt idx="24">
                        <c:v>1203.9165170000001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07'!$C$183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07'!$A$184:$A$208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07'!$C$184:$C$208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178.47662750000001</c:v>
                      </c:pt>
                      <c:pt idx="1">
                        <c:v>187.61174600000001</c:v>
                      </c:pt>
                      <c:pt idx="2">
                        <c:v>118.85338849999999</c:v>
                      </c:pt>
                      <c:pt idx="3">
                        <c:v>182.05328800000001</c:v>
                      </c:pt>
                      <c:pt idx="4">
                        <c:v>208.36756399999999</c:v>
                      </c:pt>
                      <c:pt idx="5">
                        <c:v>207.28045900000001</c:v>
                      </c:pt>
                      <c:pt idx="6">
                        <c:v>352.53807599999999</c:v>
                      </c:pt>
                      <c:pt idx="7">
                        <c:v>287.45972999999998</c:v>
                      </c:pt>
                      <c:pt idx="8">
                        <c:v>235.31313449999999</c:v>
                      </c:pt>
                      <c:pt idx="9">
                        <c:v>195.3761355</c:v>
                      </c:pt>
                      <c:pt idx="10">
                        <c:v>140.68147400000001</c:v>
                      </c:pt>
                      <c:pt idx="11">
                        <c:v>149.86445600000002</c:v>
                      </c:pt>
                      <c:pt idx="12">
                        <c:v>163.5709185</c:v>
                      </c:pt>
                      <c:pt idx="13">
                        <c:v>191.88745650000001</c:v>
                      </c:pt>
                      <c:pt idx="14">
                        <c:v>294.86144400000001</c:v>
                      </c:pt>
                      <c:pt idx="15">
                        <c:v>292.40513299999998</c:v>
                      </c:pt>
                      <c:pt idx="16">
                        <c:v>330.94496200000003</c:v>
                      </c:pt>
                      <c:pt idx="17">
                        <c:v>394.76674750000001</c:v>
                      </c:pt>
                      <c:pt idx="18">
                        <c:v>385.87431499999997</c:v>
                      </c:pt>
                      <c:pt idx="19">
                        <c:v>442.54470950000001</c:v>
                      </c:pt>
                      <c:pt idx="20">
                        <c:v>630.15967000000001</c:v>
                      </c:pt>
                      <c:pt idx="21">
                        <c:v>469.4102125</c:v>
                      </c:pt>
                      <c:pt idx="22">
                        <c:v>494.69408750000002</c:v>
                      </c:pt>
                      <c:pt idx="23">
                        <c:v>584.56424200000004</c:v>
                      </c:pt>
                      <c:pt idx="24">
                        <c:v>601.95825850000006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07'!$E$183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07'!$A$184:$A$208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07'!$E$184:$E$208</c:f>
              <c:numCache>
                <c:formatCode>0.0000%</c:formatCode>
                <c:ptCount val="25"/>
                <c:pt idx="0">
                  <c:v>4.3278023532073989E-5</c:v>
                </c:pt>
                <c:pt idx="1">
                  <c:v>3.8070885671647295E-5</c:v>
                </c:pt>
                <c:pt idx="2">
                  <c:v>2.1298920852872374E-5</c:v>
                </c:pt>
                <c:pt idx="3">
                  <c:v>2.2282190550838913E-5</c:v>
                </c:pt>
                <c:pt idx="4">
                  <c:v>2.2524450936124917E-5</c:v>
                </c:pt>
                <c:pt idx="5">
                  <c:v>2.1333904999022523E-5</c:v>
                </c:pt>
                <c:pt idx="6">
                  <c:v>3.3052662883139243E-5</c:v>
                </c:pt>
                <c:pt idx="7">
                  <c:v>2.9200406311522799E-5</c:v>
                </c:pt>
                <c:pt idx="8">
                  <c:v>2.7302892230681343E-5</c:v>
                </c:pt>
                <c:pt idx="9">
                  <c:v>1.9559798747958573E-5</c:v>
                </c:pt>
                <c:pt idx="10">
                  <c:v>1.4325498539768154E-5</c:v>
                </c:pt>
                <c:pt idx="11">
                  <c:v>1.5302692206818828E-5</c:v>
                </c:pt>
                <c:pt idx="12">
                  <c:v>1.7275348747864293E-5</c:v>
                </c:pt>
                <c:pt idx="13">
                  <c:v>1.6390149641039462E-5</c:v>
                </c:pt>
                <c:pt idx="14">
                  <c:v>2.0117961071287454E-5</c:v>
                </c:pt>
                <c:pt idx="15">
                  <c:v>1.7984185390091641E-5</c:v>
                </c:pt>
                <c:pt idx="16">
                  <c:v>1.5955575884676144E-5</c:v>
                </c:pt>
                <c:pt idx="17">
                  <c:v>1.6180129641502409E-5</c:v>
                </c:pt>
                <c:pt idx="18">
                  <c:v>1.6502932089306158E-5</c:v>
                </c:pt>
                <c:pt idx="19">
                  <c:v>1.5418699343349368E-5</c:v>
                </c:pt>
                <c:pt idx="20">
                  <c:v>1.87874536200377E-5</c:v>
                </c:pt>
                <c:pt idx="21">
                  <c:v>1.2698441621392549E-5</c:v>
                </c:pt>
                <c:pt idx="22">
                  <c:v>1.3011695175587141E-5</c:v>
                </c:pt>
                <c:pt idx="23">
                  <c:v>1.5447661047107244E-5</c:v>
                </c:pt>
                <c:pt idx="24">
                  <c:v>2.0609351470482115E-5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097480"/>
        <c:axId val="509097088"/>
      </c:lineChart>
      <c:catAx>
        <c:axId val="509096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096696"/>
        <c:crosses val="autoZero"/>
        <c:auto val="1"/>
        <c:lblAlgn val="ctr"/>
        <c:lblOffset val="100"/>
        <c:noMultiLvlLbl val="0"/>
      </c:catAx>
      <c:valAx>
        <c:axId val="50909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096304"/>
        <c:crosses val="autoZero"/>
        <c:crossBetween val="between"/>
        <c:majorUnit val="80000"/>
      </c:valAx>
      <c:valAx>
        <c:axId val="509097088"/>
        <c:scaling>
          <c:orientation val="minMax"/>
          <c:max val="1.0000000000000003E-4"/>
          <c:min val="0"/>
        </c:scaling>
        <c:delete val="0"/>
        <c:axPos val="r"/>
        <c:numFmt formatCode="0.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097480"/>
        <c:crosses val="max"/>
        <c:crossBetween val="between"/>
        <c:majorUnit val="2.0000000000000008E-5"/>
      </c:valAx>
      <c:catAx>
        <c:axId val="509097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097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07'!$D$212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07'!$A$213:$A$237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098264"/>
        <c:axId val="5090986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07'!$B$212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07'!$A$213:$A$237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07'!$B$213:$B$237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356.95325500000001</c:v>
                      </c:pt>
                      <c:pt idx="1">
                        <c:v>375.22349200000002</c:v>
                      </c:pt>
                      <c:pt idx="2">
                        <c:v>237.70677699999999</c:v>
                      </c:pt>
                      <c:pt idx="3">
                        <c:v>364.10657600000002</c:v>
                      </c:pt>
                      <c:pt idx="4">
                        <c:v>416.73512799999997</c:v>
                      </c:pt>
                      <c:pt idx="5">
                        <c:v>414.56091800000002</c:v>
                      </c:pt>
                      <c:pt idx="6">
                        <c:v>705.07615199999998</c:v>
                      </c:pt>
                      <c:pt idx="7">
                        <c:v>574.91945999999996</c:v>
                      </c:pt>
                      <c:pt idx="8">
                        <c:v>470.62626899999998</c:v>
                      </c:pt>
                      <c:pt idx="9">
                        <c:v>390.75227100000001</c:v>
                      </c:pt>
                      <c:pt idx="10">
                        <c:v>281.36294800000002</c:v>
                      </c:pt>
                      <c:pt idx="11">
                        <c:v>299.72891200000004</c:v>
                      </c:pt>
                      <c:pt idx="12">
                        <c:v>327.14183700000001</c:v>
                      </c:pt>
                      <c:pt idx="13">
                        <c:v>383.77491300000003</c:v>
                      </c:pt>
                      <c:pt idx="14">
                        <c:v>589.72288800000001</c:v>
                      </c:pt>
                      <c:pt idx="15">
                        <c:v>584.81026599999996</c:v>
                      </c:pt>
                      <c:pt idx="16">
                        <c:v>661.88992400000006</c:v>
                      </c:pt>
                      <c:pt idx="17">
                        <c:v>789.53349500000002</c:v>
                      </c:pt>
                      <c:pt idx="18">
                        <c:v>771.74862999999993</c:v>
                      </c:pt>
                      <c:pt idx="19">
                        <c:v>885.08941900000002</c:v>
                      </c:pt>
                      <c:pt idx="20">
                        <c:v>1260.31934</c:v>
                      </c:pt>
                      <c:pt idx="21">
                        <c:v>938.820425</c:v>
                      </c:pt>
                      <c:pt idx="22">
                        <c:v>989.38817500000005</c:v>
                      </c:pt>
                      <c:pt idx="23">
                        <c:v>1169.1284840000001</c:v>
                      </c:pt>
                      <c:pt idx="24">
                        <c:v>1203.9165170000001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07'!$C$212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07'!$A$213:$A$237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07'!$C$213:$C$237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178.47662750000001</c:v>
                      </c:pt>
                      <c:pt idx="1">
                        <c:v>187.61174600000001</c:v>
                      </c:pt>
                      <c:pt idx="2">
                        <c:v>118.85338849999999</c:v>
                      </c:pt>
                      <c:pt idx="3">
                        <c:v>182.05328800000001</c:v>
                      </c:pt>
                      <c:pt idx="4">
                        <c:v>208.36756399999999</c:v>
                      </c:pt>
                      <c:pt idx="5">
                        <c:v>207.28045900000001</c:v>
                      </c:pt>
                      <c:pt idx="6">
                        <c:v>352.53807599999999</c:v>
                      </c:pt>
                      <c:pt idx="7">
                        <c:v>287.45972999999998</c:v>
                      </c:pt>
                      <c:pt idx="8">
                        <c:v>235.31313449999999</c:v>
                      </c:pt>
                      <c:pt idx="9">
                        <c:v>195.3761355</c:v>
                      </c:pt>
                      <c:pt idx="10">
                        <c:v>140.68147400000001</c:v>
                      </c:pt>
                      <c:pt idx="11">
                        <c:v>149.86445600000002</c:v>
                      </c:pt>
                      <c:pt idx="12">
                        <c:v>163.5709185</c:v>
                      </c:pt>
                      <c:pt idx="13">
                        <c:v>191.88745650000001</c:v>
                      </c:pt>
                      <c:pt idx="14">
                        <c:v>294.86144400000001</c:v>
                      </c:pt>
                      <c:pt idx="15">
                        <c:v>292.40513299999998</c:v>
                      </c:pt>
                      <c:pt idx="16">
                        <c:v>330.94496200000003</c:v>
                      </c:pt>
                      <c:pt idx="17">
                        <c:v>394.76674750000001</c:v>
                      </c:pt>
                      <c:pt idx="18">
                        <c:v>385.87431499999997</c:v>
                      </c:pt>
                      <c:pt idx="19">
                        <c:v>442.54470950000001</c:v>
                      </c:pt>
                      <c:pt idx="20">
                        <c:v>630.15967000000001</c:v>
                      </c:pt>
                      <c:pt idx="21">
                        <c:v>469.4102125</c:v>
                      </c:pt>
                      <c:pt idx="22">
                        <c:v>494.69408750000002</c:v>
                      </c:pt>
                      <c:pt idx="23">
                        <c:v>584.56424200000004</c:v>
                      </c:pt>
                      <c:pt idx="24">
                        <c:v>601.95825850000006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07'!$E$212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07'!$A$213:$A$237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07'!$E$213:$E$237</c:f>
              <c:numCache>
                <c:formatCode>0.000000%</c:formatCode>
                <c:ptCount val="25"/>
                <c:pt idx="0">
                  <c:v>2.8907577660213899E-6</c:v>
                </c:pt>
                <c:pt idx="1">
                  <c:v>2.8689886484774592E-6</c:v>
                </c:pt>
                <c:pt idx="2">
                  <c:v>1.7278421429690823E-6</c:v>
                </c:pt>
                <c:pt idx="3">
                  <c:v>2.4908932916755317E-6</c:v>
                </c:pt>
                <c:pt idx="4">
                  <c:v>2.7187621704422981E-6</c:v>
                </c:pt>
                <c:pt idx="5">
                  <c:v>2.5589545123633353E-6</c:v>
                </c:pt>
                <c:pt idx="6">
                  <c:v>4.0952252043470918E-6</c:v>
                </c:pt>
                <c:pt idx="7">
                  <c:v>3.1626627431685713E-6</c:v>
                </c:pt>
                <c:pt idx="8">
                  <c:v>2.4357964299200549E-6</c:v>
                </c:pt>
                <c:pt idx="9">
                  <c:v>1.8996629436568348E-6</c:v>
                </c:pt>
                <c:pt idx="10">
                  <c:v>1.3244568352855405E-6</c:v>
                </c:pt>
                <c:pt idx="11">
                  <c:v>1.3651948519491755E-6</c:v>
                </c:pt>
                <c:pt idx="12">
                  <c:v>1.4210373375311776E-6</c:v>
                </c:pt>
                <c:pt idx="13">
                  <c:v>1.5632471041785337E-6</c:v>
                </c:pt>
                <c:pt idx="14">
                  <c:v>2.2519292369490548E-6</c:v>
                </c:pt>
                <c:pt idx="15">
                  <c:v>2.110331239686695E-6</c:v>
                </c:pt>
                <c:pt idx="16">
                  <c:v>2.2859048594608168E-6</c:v>
                </c:pt>
                <c:pt idx="17">
                  <c:v>2.6820976878071541E-6</c:v>
                </c:pt>
                <c:pt idx="18">
                  <c:v>2.6762001517608441E-6</c:v>
                </c:pt>
                <c:pt idx="19">
                  <c:v>2.9573222952490092E-6</c:v>
                </c:pt>
                <c:pt idx="20">
                  <c:v>4.0608498197503972E-6</c:v>
                </c:pt>
                <c:pt idx="21">
                  <c:v>2.9056193325329747E-6</c:v>
                </c:pt>
                <c:pt idx="22">
                  <c:v>2.9687891582388935E-6</c:v>
                </c:pt>
                <c:pt idx="23">
                  <c:v>3.369620894172589E-6</c:v>
                </c:pt>
                <c:pt idx="24">
                  <c:v>3.3540892219511282E-6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099440"/>
        <c:axId val="509099048"/>
      </c:lineChart>
      <c:catAx>
        <c:axId val="509098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098656"/>
        <c:crosses val="autoZero"/>
        <c:auto val="1"/>
        <c:lblAlgn val="ctr"/>
        <c:lblOffset val="100"/>
        <c:noMultiLvlLbl val="0"/>
      </c:catAx>
      <c:valAx>
        <c:axId val="50909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098264"/>
        <c:crosses val="autoZero"/>
        <c:crossBetween val="between"/>
        <c:majorUnit val="4000"/>
      </c:valAx>
      <c:valAx>
        <c:axId val="509099048"/>
        <c:scaling>
          <c:orientation val="minMax"/>
        </c:scaling>
        <c:delete val="0"/>
        <c:axPos val="r"/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099440"/>
        <c:crosses val="max"/>
        <c:crossBetween val="between"/>
      </c:valAx>
      <c:catAx>
        <c:axId val="509099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099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07'!$D$5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07'!$D$6:$D$30</c:f>
              <c:numCache>
                <c:formatCode>"$"\ #,##0.00</c:formatCode>
                <c:ptCount val="25"/>
                <c:pt idx="0">
                  <c:v>10.230477881929581</c:v>
                </c:pt>
                <c:pt idx="1">
                  <c:v>10.51946755913554</c:v>
                </c:pt>
                <c:pt idx="2">
                  <c:v>6.5132722558233596</c:v>
                </c:pt>
                <c:pt idx="3">
                  <c:v>9.8278692583594598</c:v>
                </c:pt>
                <c:pt idx="4">
                  <c:v>11.055269369941181</c:v>
                </c:pt>
                <c:pt idx="5">
                  <c:v>10.831640286276812</c:v>
                </c:pt>
                <c:pt idx="6">
                  <c:v>18.199907852042816</c:v>
                </c:pt>
                <c:pt idx="7">
                  <c:v>14.613613520626648</c:v>
                </c:pt>
                <c:pt idx="8">
                  <c:v>11.804972052159638</c:v>
                </c:pt>
                <c:pt idx="9">
                  <c:v>9.659369022837577</c:v>
                </c:pt>
                <c:pt idx="10">
                  <c:v>6.8394416941181362</c:v>
                </c:pt>
                <c:pt idx="11">
                  <c:v>7.1825513593128125</c:v>
                </c:pt>
                <c:pt idx="12">
                  <c:v>7.7573004623603659</c:v>
                </c:pt>
                <c:pt idx="13">
                  <c:v>8.9740331546872021</c:v>
                </c:pt>
                <c:pt idx="14">
                  <c:v>13.670162755634411</c:v>
                </c:pt>
                <c:pt idx="15">
                  <c:v>13.34925004301253</c:v>
                </c:pt>
                <c:pt idx="16">
                  <c:v>14.983943129737114</c:v>
                </c:pt>
                <c:pt idx="17">
                  <c:v>17.637976540852815</c:v>
                </c:pt>
                <c:pt idx="18">
                  <c:v>17.053667689725692</c:v>
                </c:pt>
                <c:pt idx="19">
                  <c:v>19.319896046511872</c:v>
                </c:pt>
                <c:pt idx="20">
                  <c:v>27.223634058638059</c:v>
                </c:pt>
                <c:pt idx="21">
                  <c:v>19.865189818784035</c:v>
                </c:pt>
                <c:pt idx="22">
                  <c:v>20.365298263798614</c:v>
                </c:pt>
                <c:pt idx="23">
                  <c:v>23.887359573823783</c:v>
                </c:pt>
                <c:pt idx="24">
                  <c:v>24.445565370330165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07'!$D$35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07'!$D$36:$D$60</c:f>
              <c:numCache>
                <c:formatCode>"$"\ #,##0.00</c:formatCode>
                <c:ptCount val="25"/>
                <c:pt idx="0">
                  <c:v>1.779698121506481E-2</c:v>
                </c:pt>
                <c:pt idx="1">
                  <c:v>4.3977327176589365E-2</c:v>
                </c:pt>
                <c:pt idx="2">
                  <c:v>5.1924196762690909E-2</c:v>
                </c:pt>
                <c:pt idx="3">
                  <c:v>5.1859253449532683E-2</c:v>
                </c:pt>
                <c:pt idx="4">
                  <c:v>6.5916627651059781E-2</c:v>
                </c:pt>
                <c:pt idx="5">
                  <c:v>5.8355865351653158E-2</c:v>
                </c:pt>
                <c:pt idx="6">
                  <c:v>4.9439674833303748E-2</c:v>
                </c:pt>
                <c:pt idx="7">
                  <c:v>5.8517183446415585E-2</c:v>
                </c:pt>
                <c:pt idx="8">
                  <c:v>4.0404650316865021E-2</c:v>
                </c:pt>
                <c:pt idx="9">
                  <c:v>3.7784755606963476E-2</c:v>
                </c:pt>
                <c:pt idx="10">
                  <c:v>5.4421006988832461E-2</c:v>
                </c:pt>
                <c:pt idx="11">
                  <c:v>6.9745778394275149E-2</c:v>
                </c:pt>
                <c:pt idx="12">
                  <c:v>5.9903234391087239E-2</c:v>
                </c:pt>
                <c:pt idx="13">
                  <c:v>8.3993743557859712E-2</c:v>
                </c:pt>
                <c:pt idx="14">
                  <c:v>7.9947949795134338E-2</c:v>
                </c:pt>
                <c:pt idx="15">
                  <c:v>0.12379190542422334</c:v>
                </c:pt>
                <c:pt idx="16">
                  <c:v>8.4033145135185755E-2</c:v>
                </c:pt>
                <c:pt idx="17">
                  <c:v>0.12384848022031918</c:v>
                </c:pt>
                <c:pt idx="18">
                  <c:v>0.10437300817415623</c:v>
                </c:pt>
                <c:pt idx="19">
                  <c:v>0.12852209328039563</c:v>
                </c:pt>
                <c:pt idx="20">
                  <c:v>0.14807321275300006</c:v>
                </c:pt>
                <c:pt idx="21">
                  <c:v>0.28903267697359114</c:v>
                </c:pt>
                <c:pt idx="22">
                  <c:v>0.63141883244676289</c:v>
                </c:pt>
                <c:pt idx="23">
                  <c:v>0.64232253817927554</c:v>
                </c:pt>
                <c:pt idx="24">
                  <c:v>0.53019136303752812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07'!$D$64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07'!$D$65:$D$89</c:f>
              <c:numCache>
                <c:formatCode>"$"\ #,##0.00</c:formatCode>
                <c:ptCount val="25"/>
                <c:pt idx="0">
                  <c:v>10.248274863144646</c:v>
                </c:pt>
                <c:pt idx="1">
                  <c:v>10.563444886312132</c:v>
                </c:pt>
                <c:pt idx="2">
                  <c:v>6.5651964525860498</c:v>
                </c:pt>
                <c:pt idx="3">
                  <c:v>9.8797285118089935</c:v>
                </c:pt>
                <c:pt idx="4">
                  <c:v>11.12118599759224</c:v>
                </c:pt>
                <c:pt idx="5">
                  <c:v>10.889996151628466</c:v>
                </c:pt>
                <c:pt idx="6">
                  <c:v>18.249347526876118</c:v>
                </c:pt>
                <c:pt idx="7">
                  <c:v>14.672130704073062</c:v>
                </c:pt>
                <c:pt idx="8">
                  <c:v>11.845376702476502</c:v>
                </c:pt>
                <c:pt idx="9">
                  <c:v>9.6971537784445392</c:v>
                </c:pt>
                <c:pt idx="10">
                  <c:v>6.8938627011069684</c:v>
                </c:pt>
                <c:pt idx="11">
                  <c:v>7.2522971377070888</c:v>
                </c:pt>
                <c:pt idx="12">
                  <c:v>7.817203696751454</c:v>
                </c:pt>
                <c:pt idx="13">
                  <c:v>9.0580268982450622</c:v>
                </c:pt>
                <c:pt idx="14">
                  <c:v>13.750110705429547</c:v>
                </c:pt>
                <c:pt idx="15">
                  <c:v>13.473041948436752</c:v>
                </c:pt>
                <c:pt idx="16">
                  <c:v>15.067976274872301</c:v>
                </c:pt>
                <c:pt idx="17">
                  <c:v>17.761825021073136</c:v>
                </c:pt>
                <c:pt idx="18">
                  <c:v>17.158040697899846</c:v>
                </c:pt>
                <c:pt idx="19">
                  <c:v>19.44841813979227</c:v>
                </c:pt>
                <c:pt idx="20">
                  <c:v>27.371707271391056</c:v>
                </c:pt>
                <c:pt idx="21">
                  <c:v>20.154222495757629</c:v>
                </c:pt>
                <c:pt idx="22">
                  <c:v>20.996717096245376</c:v>
                </c:pt>
                <c:pt idx="23">
                  <c:v>24.529682112003062</c:v>
                </c:pt>
                <c:pt idx="24">
                  <c:v>24.975756733367696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100224"/>
        <c:axId val="509100616"/>
      </c:lineChart>
      <c:catAx>
        <c:axId val="509100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0616"/>
        <c:crosses val="autoZero"/>
        <c:auto val="1"/>
        <c:lblAlgn val="ctr"/>
        <c:lblOffset val="100"/>
        <c:noMultiLvlLbl val="0"/>
      </c:catAx>
      <c:valAx>
        <c:axId val="50910061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0224"/>
        <c:crosses val="autoZero"/>
        <c:crossBetween val="between"/>
        <c:majorUnit val="6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07'!$D$96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07'!$D$97:$D$121</c:f>
              <c:numCache>
                <c:formatCode>"$"\ #,##0.000</c:formatCode>
                <c:ptCount val="25"/>
                <c:pt idx="0">
                  <c:v>2.4441250690008672E-3</c:v>
                </c:pt>
                <c:pt idx="1">
                  <c:v>6.0897409908153878E-3</c:v>
                </c:pt>
                <c:pt idx="2">
                  <c:v>7.2551142086435053E-3</c:v>
                </c:pt>
                <c:pt idx="3">
                  <c:v>7.2377821791177041E-3</c:v>
                </c:pt>
                <c:pt idx="4">
                  <c:v>9.271991531467955E-3</c:v>
                </c:pt>
                <c:pt idx="5">
                  <c:v>8.2604915777339822E-3</c:v>
                </c:pt>
                <c:pt idx="6">
                  <c:v>7.0384211476599836E-3</c:v>
                </c:pt>
                <c:pt idx="7">
                  <c:v>8.4429274184046194E-3</c:v>
                </c:pt>
                <c:pt idx="8">
                  <c:v>5.8582788368901993E-3</c:v>
                </c:pt>
                <c:pt idx="9">
                  <c:v>5.3428907720842788E-3</c:v>
                </c:pt>
                <c:pt idx="10">
                  <c:v>7.7222512285285115E-3</c:v>
                </c:pt>
                <c:pt idx="11">
                  <c:v>9.9359950973832902E-3</c:v>
                </c:pt>
                <c:pt idx="12">
                  <c:v>8.5616210400673819E-3</c:v>
                </c:pt>
                <c:pt idx="13">
                  <c:v>1.2042260949274122E-2</c:v>
                </c:pt>
                <c:pt idx="14">
                  <c:v>1.1491574540044774E-2</c:v>
                </c:pt>
                <c:pt idx="15">
                  <c:v>1.783781319841805E-2</c:v>
                </c:pt>
                <c:pt idx="16">
                  <c:v>1.2138741352072734E-2</c:v>
                </c:pt>
                <c:pt idx="17">
                  <c:v>1.7945625586395276E-2</c:v>
                </c:pt>
                <c:pt idx="18">
                  <c:v>1.5205324198077963E-2</c:v>
                </c:pt>
                <c:pt idx="19">
                  <c:v>1.8907524308530922E-2</c:v>
                </c:pt>
                <c:pt idx="20">
                  <c:v>2.187198865942034E-2</c:v>
                </c:pt>
                <c:pt idx="21">
                  <c:v>4.2862627523670066E-2</c:v>
                </c:pt>
                <c:pt idx="22">
                  <c:v>9.4007504279709539E-2</c:v>
                </c:pt>
                <c:pt idx="23">
                  <c:v>9.6012427587614677E-2</c:v>
                </c:pt>
                <c:pt idx="24">
                  <c:v>7.9513169141744708E-2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07'!$D$126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07'!$D$127:$D$151</c:f>
              <c:numCache>
                <c:formatCode>"$"\ #,##0.0000</c:formatCode>
                <c:ptCount val="25"/>
                <c:pt idx="0">
                  <c:v>1.4049892595221196</c:v>
                </c:pt>
                <c:pt idx="1">
                  <c:v>1.4566786321321088</c:v>
                </c:pt>
                <c:pt idx="2">
                  <c:v>0.91006769548992594</c:v>
                </c:pt>
                <c:pt idx="3">
                  <c:v>1.371635190353744</c:v>
                </c:pt>
                <c:pt idx="4">
                  <c:v>1.5550608037597879</c:v>
                </c:pt>
                <c:pt idx="5">
                  <c:v>1.5332593016770164</c:v>
                </c:pt>
                <c:pt idx="6">
                  <c:v>2.5910084712974459</c:v>
                </c:pt>
                <c:pt idx="7">
                  <c:v>2.1084691881701425</c:v>
                </c:pt>
                <c:pt idx="8">
                  <c:v>1.7116054068256794</c:v>
                </c:pt>
                <c:pt idx="9">
                  <c:v>1.3658670748889121</c:v>
                </c:pt>
                <c:pt idx="10">
                  <c:v>0.97050550783985046</c:v>
                </c:pt>
                <c:pt idx="11">
                  <c:v>1.0232274516946767</c:v>
                </c:pt>
                <c:pt idx="12">
                  <c:v>1.1087058575012532</c:v>
                </c:pt>
                <c:pt idx="13">
                  <c:v>1.2866154601352866</c:v>
                </c:pt>
                <c:pt idx="14">
                  <c:v>1.9649246126193642</c:v>
                </c:pt>
                <c:pt idx="15">
                  <c:v>1.9235621892256336</c:v>
                </c:pt>
                <c:pt idx="16">
                  <c:v>2.1644579623128726</c:v>
                </c:pt>
                <c:pt idx="17">
                  <c:v>2.5557400667387227</c:v>
                </c:pt>
                <c:pt idx="18">
                  <c:v>2.4844215044170128</c:v>
                </c:pt>
                <c:pt idx="19">
                  <c:v>2.8422459891060154</c:v>
                </c:pt>
                <c:pt idx="20">
                  <c:v>4.0212203431553961</c:v>
                </c:pt>
                <c:pt idx="21">
                  <c:v>2.9459445236613919</c:v>
                </c:pt>
                <c:pt idx="22">
                  <c:v>3.0320458708412485</c:v>
                </c:pt>
                <c:pt idx="23">
                  <c:v>3.5706101608113698</c:v>
                </c:pt>
                <c:pt idx="24">
                  <c:v>3.6661185178889029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07'!$D$155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07'!$D$156:$D$180</c:f>
              <c:numCache>
                <c:formatCode>"$"\ #,##0.0000</c:formatCode>
                <c:ptCount val="25"/>
                <c:pt idx="0">
                  <c:v>1.4074333845911207</c:v>
                </c:pt>
                <c:pt idx="1">
                  <c:v>1.4627683731229242</c:v>
                </c:pt>
                <c:pt idx="2">
                  <c:v>0.91732280969856939</c:v>
                </c:pt>
                <c:pt idx="3">
                  <c:v>1.3788729725328617</c:v>
                </c:pt>
                <c:pt idx="4">
                  <c:v>1.564332795291256</c:v>
                </c:pt>
                <c:pt idx="5">
                  <c:v>1.5415197932547504</c:v>
                </c:pt>
                <c:pt idx="6">
                  <c:v>2.5980468924451059</c:v>
                </c:pt>
                <c:pt idx="7">
                  <c:v>2.1169121155885469</c:v>
                </c:pt>
                <c:pt idx="8">
                  <c:v>1.7174636856625696</c:v>
                </c:pt>
                <c:pt idx="9">
                  <c:v>1.3712099656609962</c:v>
                </c:pt>
                <c:pt idx="10">
                  <c:v>0.97822775906837911</c:v>
                </c:pt>
                <c:pt idx="11">
                  <c:v>1.0331634467920601</c:v>
                </c:pt>
                <c:pt idx="12">
                  <c:v>1.1172674785413206</c:v>
                </c:pt>
                <c:pt idx="13">
                  <c:v>1.2986577210845609</c:v>
                </c:pt>
                <c:pt idx="14">
                  <c:v>1.9764161871594093</c:v>
                </c:pt>
                <c:pt idx="15">
                  <c:v>1.9414000024240514</c:v>
                </c:pt>
                <c:pt idx="16">
                  <c:v>2.1765967036649454</c:v>
                </c:pt>
                <c:pt idx="17">
                  <c:v>2.5736856923251183</c:v>
                </c:pt>
                <c:pt idx="18">
                  <c:v>2.4996268286150904</c:v>
                </c:pt>
                <c:pt idx="19">
                  <c:v>2.8611535134145463</c:v>
                </c:pt>
                <c:pt idx="20">
                  <c:v>4.0430923318148153</c:v>
                </c:pt>
                <c:pt idx="21">
                  <c:v>2.9888071511850622</c:v>
                </c:pt>
                <c:pt idx="22">
                  <c:v>3.126053375120958</c:v>
                </c:pt>
                <c:pt idx="23">
                  <c:v>3.6666225883989849</c:v>
                </c:pt>
                <c:pt idx="24">
                  <c:v>3.7456316870306479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101400"/>
        <c:axId val="509101792"/>
      </c:lineChart>
      <c:catAx>
        <c:axId val="509101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1792"/>
        <c:crosses val="autoZero"/>
        <c:auto val="1"/>
        <c:lblAlgn val="ctr"/>
        <c:lblOffset val="100"/>
        <c:noMultiLvlLbl val="0"/>
      </c:catAx>
      <c:valAx>
        <c:axId val="50910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07'!$D$5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07'!$B$6:$B$30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07'!$D$6:$D$30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102576"/>
        <c:axId val="509102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07'!$C$5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07'!$B$6:$B$30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07'!$C$6:$C$30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356.33337599999999</c:v>
                      </c:pt>
                      <c:pt idx="1">
                        <c:v>373.66137600000002</c:v>
                      </c:pt>
                      <c:pt idx="2">
                        <c:v>235.826752</c:v>
                      </c:pt>
                      <c:pt idx="3">
                        <c:v>362.19535999999999</c:v>
                      </c:pt>
                      <c:pt idx="4">
                        <c:v>414.26508799999999</c:v>
                      </c:pt>
                      <c:pt idx="5">
                        <c:v>412.33942400000001</c:v>
                      </c:pt>
                      <c:pt idx="6">
                        <c:v>703.16601600000001</c:v>
                      </c:pt>
                      <c:pt idx="7">
                        <c:v>572.62649599999997</c:v>
                      </c:pt>
                      <c:pt idx="8">
                        <c:v>469.02096</c:v>
                      </c:pt>
                      <c:pt idx="9">
                        <c:v>389.229713</c:v>
                      </c:pt>
                      <c:pt idx="10">
                        <c:v>279.14183400000002</c:v>
                      </c:pt>
                      <c:pt idx="11">
                        <c:v>296.84640100000001</c:v>
                      </c:pt>
                      <c:pt idx="12">
                        <c:v>324.63494900000001</c:v>
                      </c:pt>
                      <c:pt idx="13">
                        <c:v>380.21622500000001</c:v>
                      </c:pt>
                      <c:pt idx="14">
                        <c:v>586.29403300000001</c:v>
                      </c:pt>
                      <c:pt idx="15">
                        <c:v>579.43696</c:v>
                      </c:pt>
                      <c:pt idx="16">
                        <c:v>658.19860600000004</c:v>
                      </c:pt>
                      <c:pt idx="17">
                        <c:v>784.02828799999997</c:v>
                      </c:pt>
                      <c:pt idx="18">
                        <c:v>767.05405399999995</c:v>
                      </c:pt>
                      <c:pt idx="19">
                        <c:v>879.24043200000006</c:v>
                      </c:pt>
                      <c:pt idx="20">
                        <c:v>1253.501368</c:v>
                      </c:pt>
                      <c:pt idx="21">
                        <c:v>925.35675600000002</c:v>
                      </c:pt>
                      <c:pt idx="22">
                        <c:v>959.63503200000002</c:v>
                      </c:pt>
                      <c:pt idx="23">
                        <c:v>1138.514244</c:v>
                      </c:pt>
                      <c:pt idx="24">
                        <c:v>1178.3594880000001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07'!$E$5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07'!$B$6:$B$30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07'!$E$6:$E$30</c:f>
              <c:numCache>
                <c:formatCode>0.0000000000%</c:formatCode>
                <c:ptCount val="25"/>
                <c:pt idx="0">
                  <c:v>1.1536812550669156E-10</c:v>
                </c:pt>
                <c:pt idx="1">
                  <c:v>1.0167994039530023E-10</c:v>
                </c:pt>
                <c:pt idx="2">
                  <c:v>4.3539566847070132E-11</c:v>
                </c:pt>
                <c:pt idx="3">
                  <c:v>4.384197657946617E-11</c:v>
                </c:pt>
                <c:pt idx="4">
                  <c:v>4.2498194264404334E-11</c:v>
                </c:pt>
                <c:pt idx="5">
                  <c:v>3.0009116426277061E-11</c:v>
                </c:pt>
                <c:pt idx="6">
                  <c:v>4.1755595042126677E-11</c:v>
                </c:pt>
                <c:pt idx="7">
                  <c:v>3.1012421291885413E-11</c:v>
                </c:pt>
                <c:pt idx="8">
                  <c:v>2.5700167301160284E-11</c:v>
                </c:pt>
                <c:pt idx="9">
                  <c:v>2.2390369942130031E-11</c:v>
                </c:pt>
                <c:pt idx="10">
                  <c:v>1.6461498868773282E-11</c:v>
                </c:pt>
                <c:pt idx="11">
                  <c:v>1.5373960840231719E-11</c:v>
                </c:pt>
                <c:pt idx="12">
                  <c:v>1.5929943519070743E-11</c:v>
                </c:pt>
                <c:pt idx="13">
                  <c:v>1.7249975183235738E-11</c:v>
                </c:pt>
                <c:pt idx="14">
                  <c:v>2.2989787066448607E-11</c:v>
                </c:pt>
                <c:pt idx="15">
                  <c:v>2.0006140257230651E-11</c:v>
                </c:pt>
                <c:pt idx="16">
                  <c:v>2.0837870513287039E-11</c:v>
                </c:pt>
                <c:pt idx="17">
                  <c:v>2.1961913197941713E-11</c:v>
                </c:pt>
                <c:pt idx="18">
                  <c:v>1.8529498598113932E-11</c:v>
                </c:pt>
                <c:pt idx="19">
                  <c:v>1.8443187024111301E-11</c:v>
                </c:pt>
                <c:pt idx="20">
                  <c:v>2.7861449862036518E-11</c:v>
                </c:pt>
                <c:pt idx="21">
                  <c:v>1.8705105088933956E-11</c:v>
                </c:pt>
                <c:pt idx="22">
                  <c:v>1.6391511338169782E-11</c:v>
                </c:pt>
                <c:pt idx="23">
                  <c:v>1.8746855396371654E-11</c:v>
                </c:pt>
                <c:pt idx="24">
                  <c:v>1.8259760343253146E-11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103752"/>
        <c:axId val="509103360"/>
      </c:lineChart>
      <c:catAx>
        <c:axId val="509102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2968"/>
        <c:crosses val="autoZero"/>
        <c:auto val="1"/>
        <c:lblAlgn val="ctr"/>
        <c:lblOffset val="100"/>
        <c:noMultiLvlLbl val="0"/>
      </c:catAx>
      <c:valAx>
        <c:axId val="50910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2576"/>
        <c:crosses val="autoZero"/>
        <c:crossBetween val="between"/>
      </c:valAx>
      <c:valAx>
        <c:axId val="509103360"/>
        <c:scaling>
          <c:orientation val="minMax"/>
          <c:max val="1.2000000000000005E-10"/>
        </c:scaling>
        <c:delete val="0"/>
        <c:axPos val="r"/>
        <c:numFmt formatCode="0.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3752"/>
        <c:crosses val="max"/>
        <c:crossBetween val="between"/>
        <c:majorUnit val="2.0000000000000012E-11"/>
      </c:valAx>
      <c:catAx>
        <c:axId val="509103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10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07'!$D$36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07'!$B$37:$B$61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07'!$D$37:$D$61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104536"/>
        <c:axId val="5091049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07'!$C$36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07'!$B$37:$B$61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07'!$C$37:$C$61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0.61987899999999996</c:v>
                      </c:pt>
                      <c:pt idx="1">
                        <c:v>1.5621160000000001</c:v>
                      </c:pt>
                      <c:pt idx="2">
                        <c:v>1.8800250000000001</c:v>
                      </c:pt>
                      <c:pt idx="3">
                        <c:v>1.911216</c:v>
                      </c:pt>
                      <c:pt idx="4">
                        <c:v>2.47004</c:v>
                      </c:pt>
                      <c:pt idx="5">
                        <c:v>2.2214939999999999</c:v>
                      </c:pt>
                      <c:pt idx="6">
                        <c:v>1.9101360000000001</c:v>
                      </c:pt>
                      <c:pt idx="7">
                        <c:v>2.292964</c:v>
                      </c:pt>
                      <c:pt idx="8">
                        <c:v>1.6053090000000001</c:v>
                      </c:pt>
                      <c:pt idx="9">
                        <c:v>1.5225580000000001</c:v>
                      </c:pt>
                      <c:pt idx="10">
                        <c:v>2.221114</c:v>
                      </c:pt>
                      <c:pt idx="11">
                        <c:v>2.882511</c:v>
                      </c:pt>
                      <c:pt idx="12">
                        <c:v>2.506888</c:v>
                      </c:pt>
                      <c:pt idx="13">
                        <c:v>3.5586880000000001</c:v>
                      </c:pt>
                      <c:pt idx="14">
                        <c:v>3.428855</c:v>
                      </c:pt>
                      <c:pt idx="15">
                        <c:v>5.3733060000000004</c:v>
                      </c:pt>
                      <c:pt idx="16">
                        <c:v>3.6913179999999999</c:v>
                      </c:pt>
                      <c:pt idx="17">
                        <c:v>5.5052070000000004</c:v>
                      </c:pt>
                      <c:pt idx="18">
                        <c:v>4.6945759999999996</c:v>
                      </c:pt>
                      <c:pt idx="19">
                        <c:v>5.8489870000000002</c:v>
                      </c:pt>
                      <c:pt idx="20">
                        <c:v>6.8179720000000001</c:v>
                      </c:pt>
                      <c:pt idx="21">
                        <c:v>13.463668999999999</c:v>
                      </c:pt>
                      <c:pt idx="22">
                        <c:v>29.753143000000001</c:v>
                      </c:pt>
                      <c:pt idx="23">
                        <c:v>30.614239999999999</c:v>
                      </c:pt>
                      <c:pt idx="24">
                        <c:v>25.557029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07'!$E$36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07'!$B$37:$B$61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07'!$E$37:$E$61</c:f>
              <c:numCache>
                <c:formatCode>0.0000000000%</c:formatCode>
                <c:ptCount val="25"/>
                <c:pt idx="0">
                  <c:v>2.0069486353970516E-11</c:v>
                </c:pt>
                <c:pt idx="1">
                  <c:v>4.2507968972031183E-11</c:v>
                </c:pt>
                <c:pt idx="2">
                  <c:v>3.4710003622346889E-11</c:v>
                </c:pt>
                <c:pt idx="3">
                  <c:v>2.3134334771793051E-11</c:v>
                </c:pt>
                <c:pt idx="4">
                  <c:v>2.5339388425811369E-11</c:v>
                </c:pt>
                <c:pt idx="5">
                  <c:v>1.6167523211720822E-11</c:v>
                </c:pt>
                <c:pt idx="6">
                  <c:v>1.134282139303326E-11</c:v>
                </c:pt>
                <c:pt idx="7">
                  <c:v>1.2418280689394915E-11</c:v>
                </c:pt>
                <c:pt idx="8">
                  <c:v>8.7963467283121668E-12</c:v>
                </c:pt>
                <c:pt idx="9">
                  <c:v>8.7584877874802984E-12</c:v>
                </c:pt>
                <c:pt idx="10">
                  <c:v>1.3098311017909447E-11</c:v>
                </c:pt>
                <c:pt idx="11">
                  <c:v>1.4928801927949658E-11</c:v>
                </c:pt>
                <c:pt idx="12">
                  <c:v>1.2301381712489684E-11</c:v>
                </c:pt>
                <c:pt idx="13">
                  <c:v>1.6145360363008923E-11</c:v>
                </c:pt>
                <c:pt idx="14">
                  <c:v>1.3445241106816389E-11</c:v>
                </c:pt>
                <c:pt idx="15">
                  <c:v>1.8552339754270942E-11</c:v>
                </c:pt>
                <c:pt idx="16">
                  <c:v>1.1686321697765139E-11</c:v>
                </c:pt>
                <c:pt idx="17">
                  <c:v>1.542098418146631E-11</c:v>
                </c:pt>
                <c:pt idx="18">
                  <c:v>1.1340548812318684E-11</c:v>
                </c:pt>
                <c:pt idx="19">
                  <c:v>1.2268994602217711E-11</c:v>
                </c:pt>
                <c:pt idx="20">
                  <c:v>1.515423835092048E-11</c:v>
                </c:pt>
                <c:pt idx="21">
                  <c:v>2.7215378489939107E-11</c:v>
                </c:pt>
                <c:pt idx="22">
                  <c:v>5.0821298156890007E-11</c:v>
                </c:pt>
                <c:pt idx="23">
                  <c:v>5.0409622310339482E-11</c:v>
                </c:pt>
                <c:pt idx="24">
                  <c:v>3.960295897626537E-11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105712"/>
        <c:axId val="509105320"/>
      </c:lineChart>
      <c:catAx>
        <c:axId val="50910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4928"/>
        <c:crosses val="autoZero"/>
        <c:auto val="1"/>
        <c:lblAlgn val="ctr"/>
        <c:lblOffset val="100"/>
        <c:noMultiLvlLbl val="0"/>
      </c:catAx>
      <c:valAx>
        <c:axId val="50910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4536"/>
        <c:crosses val="autoZero"/>
        <c:crossBetween val="between"/>
      </c:valAx>
      <c:valAx>
        <c:axId val="509105320"/>
        <c:scaling>
          <c:orientation val="minMax"/>
          <c:max val="6.0000000000000038E-11"/>
          <c:min val="0"/>
        </c:scaling>
        <c:delete val="0"/>
        <c:axPos val="r"/>
        <c:numFmt formatCode="0.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5712"/>
        <c:crosses val="max"/>
        <c:crossBetween val="between"/>
        <c:majorUnit val="1.0000000000000006E-11"/>
      </c:valAx>
      <c:catAx>
        <c:axId val="509105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105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07'!$D$67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07'!$B$68:$B$92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07'!$D$68:$D$92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106496"/>
        <c:axId val="509106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07'!$C$67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07'!$B$68:$B$92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07'!$C$68:$C$92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356.95325500000001</c:v>
                      </c:pt>
                      <c:pt idx="1">
                        <c:v>375.22349200000002</c:v>
                      </c:pt>
                      <c:pt idx="2">
                        <c:v>237.70677699999999</c:v>
                      </c:pt>
                      <c:pt idx="3">
                        <c:v>364.10657600000002</c:v>
                      </c:pt>
                      <c:pt idx="4">
                        <c:v>416.73512799999997</c:v>
                      </c:pt>
                      <c:pt idx="5">
                        <c:v>414.56091800000002</c:v>
                      </c:pt>
                      <c:pt idx="6">
                        <c:v>705.07615199999998</c:v>
                      </c:pt>
                      <c:pt idx="7">
                        <c:v>574.91945999999996</c:v>
                      </c:pt>
                      <c:pt idx="8">
                        <c:v>470.62626899999998</c:v>
                      </c:pt>
                      <c:pt idx="9">
                        <c:v>390.75227100000001</c:v>
                      </c:pt>
                      <c:pt idx="10">
                        <c:v>281.36294800000002</c:v>
                      </c:pt>
                      <c:pt idx="11">
                        <c:v>299.72891200000004</c:v>
                      </c:pt>
                      <c:pt idx="12">
                        <c:v>327.14183700000001</c:v>
                      </c:pt>
                      <c:pt idx="13">
                        <c:v>383.77491300000003</c:v>
                      </c:pt>
                      <c:pt idx="14">
                        <c:v>589.72288800000001</c:v>
                      </c:pt>
                      <c:pt idx="15">
                        <c:v>584.81026599999996</c:v>
                      </c:pt>
                      <c:pt idx="16">
                        <c:v>661.88992400000006</c:v>
                      </c:pt>
                      <c:pt idx="17">
                        <c:v>789.53349500000002</c:v>
                      </c:pt>
                      <c:pt idx="18">
                        <c:v>771.74862999999993</c:v>
                      </c:pt>
                      <c:pt idx="19">
                        <c:v>885.08941900000002</c:v>
                      </c:pt>
                      <c:pt idx="20">
                        <c:v>1260.31934</c:v>
                      </c:pt>
                      <c:pt idx="21">
                        <c:v>938.820425</c:v>
                      </c:pt>
                      <c:pt idx="22">
                        <c:v>989.38817500000005</c:v>
                      </c:pt>
                      <c:pt idx="23">
                        <c:v>1169.1284840000001</c:v>
                      </c:pt>
                      <c:pt idx="24">
                        <c:v>1203.9165170000001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07'!$E$67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07'!$B$68:$B$92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07'!$E$68:$E$92</c:f>
              <c:numCache>
                <c:formatCode>0.0000000%</c:formatCode>
                <c:ptCount val="25"/>
                <c:pt idx="0">
                  <c:v>5.7784410185115637E-8</c:v>
                </c:pt>
                <c:pt idx="1">
                  <c:v>5.1052510042510264E-8</c:v>
                </c:pt>
                <c:pt idx="2">
                  <c:v>2.1943333441646797E-8</c:v>
                </c:pt>
                <c:pt idx="3">
                  <c:v>2.2036659963592054E-8</c:v>
                </c:pt>
                <c:pt idx="4">
                  <c:v>2.1375794074331224E-8</c:v>
                </c:pt>
                <c:pt idx="5">
                  <c:v>1.5085395829197136E-8</c:v>
                </c:pt>
                <c:pt idx="6">
                  <c:v>2.0934511628028504E-8</c:v>
                </c:pt>
                <c:pt idx="7">
                  <c:v>1.5568302049389678E-8</c:v>
                </c:pt>
                <c:pt idx="8">
                  <c:v>1.2894065384221702E-8</c:v>
                </c:pt>
                <c:pt idx="9">
                  <c:v>1.1238977410002417E-8</c:v>
                </c:pt>
                <c:pt idx="10">
                  <c:v>8.2962409894761874E-9</c:v>
                </c:pt>
                <c:pt idx="11">
                  <c:v>7.7616244297556087E-9</c:v>
                </c:pt>
                <c:pt idx="12">
                  <c:v>8.0264786680978199E-9</c:v>
                </c:pt>
                <c:pt idx="13">
                  <c:v>8.7057143934329141E-9</c:v>
                </c:pt>
                <c:pt idx="14">
                  <c:v>1.1562119738758388E-8</c:v>
                </c:pt>
                <c:pt idx="15">
                  <c:v>1.009583182738668E-8</c:v>
                </c:pt>
                <c:pt idx="16">
                  <c:v>1.0477366865132345E-8</c:v>
                </c:pt>
                <c:pt idx="17">
                  <c:v>1.1058061519878188E-8</c:v>
                </c:pt>
                <c:pt idx="18">
                  <c:v>9.3214520431185593E-9</c:v>
                </c:pt>
                <c:pt idx="19">
                  <c:v>9.2829384850667394E-9</c:v>
                </c:pt>
                <c:pt idx="20">
                  <c:v>1.4006496122772862E-8</c:v>
                </c:pt>
                <c:pt idx="21">
                  <c:v>9.4886294369166728E-9</c:v>
                </c:pt>
                <c:pt idx="22">
                  <c:v>8.4498621598693412E-9</c:v>
                </c:pt>
                <c:pt idx="23">
                  <c:v>9.6254758097375251E-9</c:v>
                </c:pt>
                <c:pt idx="24">
                  <c:v>9.3278949665079009E-9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107672"/>
        <c:axId val="509107280"/>
      </c:lineChart>
      <c:catAx>
        <c:axId val="50910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6888"/>
        <c:crosses val="autoZero"/>
        <c:auto val="1"/>
        <c:lblAlgn val="ctr"/>
        <c:lblOffset val="100"/>
        <c:noMultiLvlLbl val="0"/>
      </c:catAx>
      <c:valAx>
        <c:axId val="50910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6496"/>
        <c:crosses val="autoZero"/>
        <c:crossBetween val="between"/>
      </c:valAx>
      <c:valAx>
        <c:axId val="509107280"/>
        <c:scaling>
          <c:orientation val="minMax"/>
          <c:max val="7.0000000000000031E-8"/>
        </c:scaling>
        <c:delete val="0"/>
        <c:axPos val="r"/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107672"/>
        <c:crosses val="max"/>
        <c:crossBetween val="between"/>
        <c:majorUnit val="1.0000000000000005E-8"/>
      </c:valAx>
      <c:catAx>
        <c:axId val="509107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107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08'!$B$1</c:f>
              <c:strCache>
                <c:ptCount val="1"/>
                <c:pt idx="0">
                  <c:v>Exportaciones  de Colombia a USA (US$ miles)</c:v>
                </c:pt>
              </c:strCache>
            </c:strRef>
          </c:tx>
          <c:invertIfNegative val="0"/>
          <c:cat>
            <c:numRef>
              <c:f>'Export 08'!$A$2:$A$26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08'!$B$2:$B$26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0.752</c:v>
                </c:pt>
                <c:pt idx="3">
                  <c:v>13.845000000000001</c:v>
                </c:pt>
                <c:pt idx="4">
                  <c:v>0</c:v>
                </c:pt>
                <c:pt idx="5">
                  <c:v>14.885</c:v>
                </c:pt>
                <c:pt idx="6">
                  <c:v>4.58</c:v>
                </c:pt>
                <c:pt idx="7">
                  <c:v>12.704000000000001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71.614000000000004</c:v>
                </c:pt>
                <c:pt idx="12">
                  <c:v>56.762</c:v>
                </c:pt>
                <c:pt idx="13">
                  <c:v>113.514</c:v>
                </c:pt>
                <c:pt idx="14">
                  <c:v>216.98099999999999</c:v>
                </c:pt>
                <c:pt idx="15">
                  <c:v>418.16500000000002</c:v>
                </c:pt>
                <c:pt idx="16">
                  <c:v>407.47699999999998</c:v>
                </c:pt>
                <c:pt idx="17">
                  <c:v>811.77499999999998</c:v>
                </c:pt>
                <c:pt idx="18">
                  <c:v>300.98</c:v>
                </c:pt>
                <c:pt idx="19">
                  <c:v>621.55600000000004</c:v>
                </c:pt>
                <c:pt idx="20">
                  <c:v>607.07799999999997</c:v>
                </c:pt>
                <c:pt idx="21">
                  <c:v>342.78100000000001</c:v>
                </c:pt>
                <c:pt idx="22">
                  <c:v>876.74400000000003</c:v>
                </c:pt>
                <c:pt idx="23">
                  <c:v>233.03800000000001</c:v>
                </c:pt>
                <c:pt idx="24">
                  <c:v>1012.679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108456"/>
        <c:axId val="509108848"/>
      </c:barChart>
      <c:catAx>
        <c:axId val="509108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108848"/>
        <c:crosses val="autoZero"/>
        <c:auto val="1"/>
        <c:lblAlgn val="ctr"/>
        <c:lblOffset val="100"/>
        <c:noMultiLvlLbl val="0"/>
      </c:catAx>
      <c:valAx>
        <c:axId val="509108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 Miles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09108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00'!$D$96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00'!$D$97:$D$121</c:f>
              <c:numCache>
                <c:formatCode>"$"\ #,##0.000</c:formatCode>
                <c:ptCount val="25"/>
                <c:pt idx="0">
                  <c:v>7.1224430249980288E-3</c:v>
                </c:pt>
                <c:pt idx="1">
                  <c:v>1.2290219713390197E-2</c:v>
                </c:pt>
                <c:pt idx="2">
                  <c:v>1.2407959680624858E-2</c:v>
                </c:pt>
                <c:pt idx="3">
                  <c:v>1.6946769875142483E-2</c:v>
                </c:pt>
                <c:pt idx="4">
                  <c:v>1.4986137283312937E-2</c:v>
                </c:pt>
                <c:pt idx="5">
                  <c:v>2.0004469564570707E-2</c:v>
                </c:pt>
                <c:pt idx="6">
                  <c:v>1.4079911712793908E-2</c:v>
                </c:pt>
                <c:pt idx="7">
                  <c:v>1.3029817662307059E-2</c:v>
                </c:pt>
                <c:pt idx="8">
                  <c:v>1.2147282719761772E-2</c:v>
                </c:pt>
                <c:pt idx="9">
                  <c:v>8.5036175256353805E-3</c:v>
                </c:pt>
                <c:pt idx="10">
                  <c:v>1.2024989758112043E-2</c:v>
                </c:pt>
                <c:pt idx="11">
                  <c:v>1.205029095154044E-2</c:v>
                </c:pt>
                <c:pt idx="12">
                  <c:v>1.4417222054499848E-2</c:v>
                </c:pt>
                <c:pt idx="13">
                  <c:v>7.6748920624929102E-3</c:v>
                </c:pt>
                <c:pt idx="14">
                  <c:v>1.2653650088884E-2</c:v>
                </c:pt>
                <c:pt idx="15">
                  <c:v>1.2513736666068599E-2</c:v>
                </c:pt>
                <c:pt idx="16">
                  <c:v>1.3876194439188578E-2</c:v>
                </c:pt>
                <c:pt idx="17">
                  <c:v>1.6000132137425307E-2</c:v>
                </c:pt>
                <c:pt idx="18">
                  <c:v>1.5533594529226849E-2</c:v>
                </c:pt>
                <c:pt idx="19">
                  <c:v>2.9497807700171524E-3</c:v>
                </c:pt>
                <c:pt idx="20">
                  <c:v>5.1698176660386541E-3</c:v>
                </c:pt>
                <c:pt idx="21">
                  <c:v>5.5229554082921956E-3</c:v>
                </c:pt>
                <c:pt idx="22">
                  <c:v>5.2219143535751624E-3</c:v>
                </c:pt>
                <c:pt idx="23">
                  <c:v>3.910460742634468E-3</c:v>
                </c:pt>
                <c:pt idx="24">
                  <c:v>1.619282903222655E-3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00'!$D$126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00'!$D$127:$D$151</c:f>
              <c:numCache>
                <c:formatCode>"$"\ #,##0.000</c:formatCode>
                <c:ptCount val="25"/>
                <c:pt idx="0">
                  <c:v>2.8944996451383959E-3</c:v>
                </c:pt>
                <c:pt idx="1">
                  <c:v>5.5130752077843098E-3</c:v>
                </c:pt>
                <c:pt idx="2">
                  <c:v>7.7509136305575176E-3</c:v>
                </c:pt>
                <c:pt idx="3">
                  <c:v>7.6972101143296433E-3</c:v>
                </c:pt>
                <c:pt idx="4">
                  <c:v>7.8513652504898692E-3</c:v>
                </c:pt>
                <c:pt idx="5">
                  <c:v>7.2650206373405714E-3</c:v>
                </c:pt>
                <c:pt idx="6">
                  <c:v>4.0150817835784324E-3</c:v>
                </c:pt>
                <c:pt idx="7">
                  <c:v>3.4743099740780019E-3</c:v>
                </c:pt>
                <c:pt idx="8">
                  <c:v>6.7259583102210032E-3</c:v>
                </c:pt>
                <c:pt idx="9">
                  <c:v>6.2878287917362786E-3</c:v>
                </c:pt>
                <c:pt idx="10">
                  <c:v>6.8049324177246184E-3</c:v>
                </c:pt>
                <c:pt idx="11">
                  <c:v>4.2636648615879107E-3</c:v>
                </c:pt>
                <c:pt idx="12">
                  <c:v>4.9236882318980449E-3</c:v>
                </c:pt>
                <c:pt idx="13">
                  <c:v>7.1794647311841861E-3</c:v>
                </c:pt>
                <c:pt idx="14">
                  <c:v>1.1562510950804223E-2</c:v>
                </c:pt>
                <c:pt idx="15">
                  <c:v>6.4856593692830767E-3</c:v>
                </c:pt>
                <c:pt idx="16">
                  <c:v>8.6806720788402611E-3</c:v>
                </c:pt>
                <c:pt idx="17">
                  <c:v>5.5980618722932399E-3</c:v>
                </c:pt>
                <c:pt idx="18">
                  <c:v>5.1033320520408624E-3</c:v>
                </c:pt>
                <c:pt idx="19">
                  <c:v>4.8647399933079045E-3</c:v>
                </c:pt>
                <c:pt idx="20">
                  <c:v>3.1204956606925502E-3</c:v>
                </c:pt>
                <c:pt idx="21">
                  <c:v>3.3595588132717394E-3</c:v>
                </c:pt>
                <c:pt idx="22">
                  <c:v>4.4342178454466362E-3</c:v>
                </c:pt>
                <c:pt idx="23">
                  <c:v>5.3555565663881682E-3</c:v>
                </c:pt>
                <c:pt idx="24">
                  <c:v>7.2601442566430927E-3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00'!$D$155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00'!$D$156:$D$180</c:f>
              <c:numCache>
                <c:formatCode>"$"\ #,##0.000</c:formatCode>
                <c:ptCount val="25"/>
                <c:pt idx="0">
                  <c:v>1.0016942670136423E-2</c:v>
                </c:pt>
                <c:pt idx="1">
                  <c:v>1.7803294921174505E-2</c:v>
                </c:pt>
                <c:pt idx="2">
                  <c:v>2.0158873311182376E-2</c:v>
                </c:pt>
                <c:pt idx="3">
                  <c:v>2.4643979989472129E-2</c:v>
                </c:pt>
                <c:pt idx="4">
                  <c:v>2.2837502533802803E-2</c:v>
                </c:pt>
                <c:pt idx="5">
                  <c:v>2.726949020191128E-2</c:v>
                </c:pt>
                <c:pt idx="6">
                  <c:v>1.8094993496372339E-2</c:v>
                </c:pt>
                <c:pt idx="7">
                  <c:v>1.650412763638506E-2</c:v>
                </c:pt>
                <c:pt idx="8">
                  <c:v>1.8873241029982772E-2</c:v>
                </c:pt>
                <c:pt idx="9">
                  <c:v>1.479144631737166E-2</c:v>
                </c:pt>
                <c:pt idx="10">
                  <c:v>1.882992217583666E-2</c:v>
                </c:pt>
                <c:pt idx="11">
                  <c:v>1.6313955813128351E-2</c:v>
                </c:pt>
                <c:pt idx="12">
                  <c:v>1.9340910286397894E-2</c:v>
                </c:pt>
                <c:pt idx="13">
                  <c:v>1.4854356793677094E-2</c:v>
                </c:pt>
                <c:pt idx="14">
                  <c:v>2.4216161039688221E-2</c:v>
                </c:pt>
                <c:pt idx="15">
                  <c:v>1.8999396035351675E-2</c:v>
                </c:pt>
                <c:pt idx="16">
                  <c:v>2.2556866518028837E-2</c:v>
                </c:pt>
                <c:pt idx="17">
                  <c:v>2.159819400971855E-2</c:v>
                </c:pt>
                <c:pt idx="18">
                  <c:v>2.0636926581267711E-2</c:v>
                </c:pt>
                <c:pt idx="19">
                  <c:v>7.8145207633250578E-3</c:v>
                </c:pt>
                <c:pt idx="20">
                  <c:v>8.2903133267312034E-3</c:v>
                </c:pt>
                <c:pt idx="21">
                  <c:v>8.8825142215639349E-3</c:v>
                </c:pt>
                <c:pt idx="22">
                  <c:v>9.6561321990217986E-3</c:v>
                </c:pt>
                <c:pt idx="23">
                  <c:v>9.2660173090226353E-3</c:v>
                </c:pt>
                <c:pt idx="24">
                  <c:v>8.8794271598657479E-3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078264"/>
        <c:axId val="503078656"/>
      </c:lineChart>
      <c:catAx>
        <c:axId val="503078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3078656"/>
        <c:crosses val="autoZero"/>
        <c:auto val="1"/>
        <c:lblAlgn val="ctr"/>
        <c:lblOffset val="100"/>
        <c:noMultiLvlLbl val="0"/>
      </c:catAx>
      <c:valAx>
        <c:axId val="50307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3078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08'!$A$2:$A$26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08'!$B$2:$B$26</c:f>
              <c:numCache>
                <c:formatCode>0.00</c:formatCode>
                <c:ptCount val="25"/>
                <c:pt idx="0">
                  <c:v>3.950151</c:v>
                </c:pt>
                <c:pt idx="1">
                  <c:v>16.932155999999999</c:v>
                </c:pt>
                <c:pt idx="2">
                  <c:v>28.760771999999999</c:v>
                </c:pt>
                <c:pt idx="3">
                  <c:v>53.276423999999999</c:v>
                </c:pt>
                <c:pt idx="4">
                  <c:v>45.640956000000003</c:v>
                </c:pt>
                <c:pt idx="5">
                  <c:v>93.808887999999996</c:v>
                </c:pt>
                <c:pt idx="6">
                  <c:v>85.494696000000005</c:v>
                </c:pt>
                <c:pt idx="7">
                  <c:v>73.777888000000004</c:v>
                </c:pt>
                <c:pt idx="8">
                  <c:v>26.589012</c:v>
                </c:pt>
                <c:pt idx="9">
                  <c:v>35.731420999999997</c:v>
                </c:pt>
                <c:pt idx="10">
                  <c:v>35.341216000000003</c:v>
                </c:pt>
                <c:pt idx="11">
                  <c:v>32.871679999999998</c:v>
                </c:pt>
                <c:pt idx="12">
                  <c:v>40.188004999999997</c:v>
                </c:pt>
                <c:pt idx="13">
                  <c:v>64.205455000000001</c:v>
                </c:pt>
                <c:pt idx="14">
                  <c:v>91.651819000000003</c:v>
                </c:pt>
                <c:pt idx="15">
                  <c:v>135.10455300000001</c:v>
                </c:pt>
                <c:pt idx="16">
                  <c:v>168.412272</c:v>
                </c:pt>
                <c:pt idx="17">
                  <c:v>257.28998200000001</c:v>
                </c:pt>
                <c:pt idx="18">
                  <c:v>112.648813</c:v>
                </c:pt>
                <c:pt idx="19">
                  <c:v>97.545862999999997</c:v>
                </c:pt>
                <c:pt idx="20">
                  <c:v>147.564931</c:v>
                </c:pt>
                <c:pt idx="21">
                  <c:v>214.34607099999999</c:v>
                </c:pt>
                <c:pt idx="22">
                  <c:v>319.22377799999998</c:v>
                </c:pt>
                <c:pt idx="23">
                  <c:v>370.25603999999998</c:v>
                </c:pt>
                <c:pt idx="24">
                  <c:v>470.23585700000001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109632"/>
        <c:axId val="509110024"/>
      </c:lineChart>
      <c:catAx>
        <c:axId val="50910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110024"/>
        <c:crosses val="autoZero"/>
        <c:auto val="1"/>
        <c:lblAlgn val="ctr"/>
        <c:lblOffset val="100"/>
        <c:noMultiLvlLbl val="0"/>
      </c:catAx>
      <c:valAx>
        <c:axId val="509110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09109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08'!$A$2:$A$26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08'!$B$2:$B$26</c:f>
              <c:numCache>
                <c:formatCode>[$$-409]#,##0.00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-28.760020000000001</c:v>
                </c:pt>
                <c:pt idx="3">
                  <c:v>-53.262578999999995</c:v>
                </c:pt>
                <c:pt idx="4">
                  <c:v>0</c:v>
                </c:pt>
                <c:pt idx="5">
                  <c:v>-93.794002999999989</c:v>
                </c:pt>
                <c:pt idx="6">
                  <c:v>-85.490116</c:v>
                </c:pt>
                <c:pt idx="7">
                  <c:v>-73.765184000000005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-32.800066000000001</c:v>
                </c:pt>
                <c:pt idx="12">
                  <c:v>-40.131242999999998</c:v>
                </c:pt>
                <c:pt idx="13">
                  <c:v>-64.091941000000006</c:v>
                </c:pt>
                <c:pt idx="14">
                  <c:v>-91.434837999999999</c:v>
                </c:pt>
                <c:pt idx="15">
                  <c:v>-134.68638800000002</c:v>
                </c:pt>
                <c:pt idx="16">
                  <c:v>-168.004795</c:v>
                </c:pt>
                <c:pt idx="17">
                  <c:v>-256.478207</c:v>
                </c:pt>
                <c:pt idx="18">
                  <c:v>-112.34783300000001</c:v>
                </c:pt>
                <c:pt idx="19">
                  <c:v>-96.924306999999999</c:v>
                </c:pt>
                <c:pt idx="20">
                  <c:v>-146.957853</c:v>
                </c:pt>
                <c:pt idx="21">
                  <c:v>-214.00328999999999</c:v>
                </c:pt>
                <c:pt idx="22">
                  <c:v>-318.34703400000001</c:v>
                </c:pt>
                <c:pt idx="23">
                  <c:v>-370.02300199999996</c:v>
                </c:pt>
                <c:pt idx="24">
                  <c:v>-469.22317800000002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357992"/>
        <c:axId val="429358384"/>
      </c:lineChart>
      <c:catAx>
        <c:axId val="429357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9358384"/>
        <c:crosses val="autoZero"/>
        <c:auto val="1"/>
        <c:lblAlgn val="ctr"/>
        <c:lblOffset val="100"/>
        <c:noMultiLvlLbl val="0"/>
      </c:catAx>
      <c:valAx>
        <c:axId val="42935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[$$-409]#,##0.00" sourceLinked="1"/>
        <c:majorTickMark val="out"/>
        <c:minorTickMark val="none"/>
        <c:tickLblPos val="nextTo"/>
        <c:crossAx val="429357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08'!$C$6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08'!$A$7:$A$31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59168"/>
        <c:axId val="4293595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08'!$B$6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08'!$A$7:$A$31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08'!$B$7:$B$31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0.752</c:v>
                      </c:pt>
                      <c:pt idx="3">
                        <c:v>13.845000000000001</c:v>
                      </c:pt>
                      <c:pt idx="4">
                        <c:v>0</c:v>
                      </c:pt>
                      <c:pt idx="5">
                        <c:v>14.885</c:v>
                      </c:pt>
                      <c:pt idx="6">
                        <c:v>4.58</c:v>
                      </c:pt>
                      <c:pt idx="7">
                        <c:v>12.704000000000001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71.614000000000004</c:v>
                      </c:pt>
                      <c:pt idx="12">
                        <c:v>56.762</c:v>
                      </c:pt>
                      <c:pt idx="13">
                        <c:v>113.514</c:v>
                      </c:pt>
                      <c:pt idx="14">
                        <c:v>216.98099999999999</c:v>
                      </c:pt>
                      <c:pt idx="15">
                        <c:v>418.16500000000002</c:v>
                      </c:pt>
                      <c:pt idx="16">
                        <c:v>407.47699999999998</c:v>
                      </c:pt>
                      <c:pt idx="17">
                        <c:v>811.77499999999998</c:v>
                      </c:pt>
                      <c:pt idx="18">
                        <c:v>300.98</c:v>
                      </c:pt>
                      <c:pt idx="19">
                        <c:v>621.55600000000004</c:v>
                      </c:pt>
                      <c:pt idx="20">
                        <c:v>607.07799999999997</c:v>
                      </c:pt>
                      <c:pt idx="21">
                        <c:v>342.78100000000001</c:v>
                      </c:pt>
                      <c:pt idx="22">
                        <c:v>876.74400000000003</c:v>
                      </c:pt>
                      <c:pt idx="23">
                        <c:v>233.03800000000001</c:v>
                      </c:pt>
                      <c:pt idx="24">
                        <c:v>1012.679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08'!$D$6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08'!$A$7:$A$31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08'!$D$7:$D$31</c:f>
              <c:numCache>
                <c:formatCode>"$"\ #,##0.0000000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1.3476089056863555E-7</c:v>
                </c:pt>
                <c:pt idx="3">
                  <c:v>1.6945419199260204E-6</c:v>
                </c:pt>
                <c:pt idx="4">
                  <c:v>0</c:v>
                </c:pt>
                <c:pt idx="5">
                  <c:v>1.5320072979501181E-6</c:v>
                </c:pt>
                <c:pt idx="6">
                  <c:v>4.2940381851059331E-7</c:v>
                </c:pt>
                <c:pt idx="7">
                  <c:v>1.29048323318743E-6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7.3125211204124612E-6</c:v>
                </c:pt>
                <c:pt idx="12">
                  <c:v>5.9948513746731388E-6</c:v>
                </c:pt>
                <c:pt idx="13">
                  <c:v>9.6958471402374004E-6</c:v>
                </c:pt>
                <c:pt idx="14">
                  <c:v>1.4804293338565563E-5</c:v>
                </c:pt>
                <c:pt idx="15">
                  <c:v>2.5718963297568625E-5</c:v>
                </c:pt>
                <c:pt idx="16">
                  <c:v>1.9645351769277517E-5</c:v>
                </c:pt>
                <c:pt idx="17">
                  <c:v>3.3271861986629509E-5</c:v>
                </c:pt>
                <c:pt idx="18">
                  <c:v>1.2872202961317516E-5</c:v>
                </c:pt>
                <c:pt idx="19">
                  <c:v>2.1655631359558396E-5</c:v>
                </c:pt>
                <c:pt idx="20">
                  <c:v>1.8099301354441242E-5</c:v>
                </c:pt>
                <c:pt idx="21">
                  <c:v>9.2728798852508128E-6</c:v>
                </c:pt>
                <c:pt idx="22">
                  <c:v>2.3060566041280962E-5</c:v>
                </c:pt>
                <c:pt idx="23">
                  <c:v>6.1582487884980453E-6</c:v>
                </c:pt>
                <c:pt idx="24">
                  <c:v>3.4671270213624541E-5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60344"/>
        <c:axId val="429359952"/>
      </c:lineChart>
      <c:catAx>
        <c:axId val="4293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59560"/>
        <c:crosses val="autoZero"/>
        <c:auto val="1"/>
        <c:lblAlgn val="ctr"/>
        <c:lblOffset val="100"/>
        <c:noMultiLvlLbl val="0"/>
      </c:catAx>
      <c:valAx>
        <c:axId val="42935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Milones de 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59168"/>
        <c:crosses val="autoZero"/>
        <c:crossBetween val="between"/>
      </c:valAx>
      <c:valAx>
        <c:axId val="4293599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0344"/>
        <c:crosses val="max"/>
        <c:crossBetween val="between"/>
      </c:valAx>
      <c:catAx>
        <c:axId val="429360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935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08'!$C$65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08'!$A$66:$A$90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61128"/>
        <c:axId val="429361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08'!$B$65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millones)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08'!$A$66:$A$90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08'!$B$66:$B$90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3.950151</c:v>
                      </c:pt>
                      <c:pt idx="1">
                        <c:v>16.932155999999999</c:v>
                      </c:pt>
                      <c:pt idx="2">
                        <c:v>28.760771999999999</c:v>
                      </c:pt>
                      <c:pt idx="3">
                        <c:v>53.276423999999999</c:v>
                      </c:pt>
                      <c:pt idx="4">
                        <c:v>45.640956000000003</c:v>
                      </c:pt>
                      <c:pt idx="5">
                        <c:v>93.808887999999996</c:v>
                      </c:pt>
                      <c:pt idx="6">
                        <c:v>85.494696000000005</c:v>
                      </c:pt>
                      <c:pt idx="7">
                        <c:v>73.777888000000004</c:v>
                      </c:pt>
                      <c:pt idx="8">
                        <c:v>26.589012</c:v>
                      </c:pt>
                      <c:pt idx="9">
                        <c:v>35.731420999999997</c:v>
                      </c:pt>
                      <c:pt idx="10">
                        <c:v>35.341216000000003</c:v>
                      </c:pt>
                      <c:pt idx="11">
                        <c:v>32.871679999999998</c:v>
                      </c:pt>
                      <c:pt idx="12">
                        <c:v>40.188004999999997</c:v>
                      </c:pt>
                      <c:pt idx="13">
                        <c:v>64.205455000000001</c:v>
                      </c:pt>
                      <c:pt idx="14">
                        <c:v>91.651819000000003</c:v>
                      </c:pt>
                      <c:pt idx="15">
                        <c:v>135.10455300000001</c:v>
                      </c:pt>
                      <c:pt idx="16">
                        <c:v>168.412272</c:v>
                      </c:pt>
                      <c:pt idx="17">
                        <c:v>257.28998200000001</c:v>
                      </c:pt>
                      <c:pt idx="18">
                        <c:v>112.648813</c:v>
                      </c:pt>
                      <c:pt idx="19">
                        <c:v>97.545862999999997</c:v>
                      </c:pt>
                      <c:pt idx="20">
                        <c:v>147.564931</c:v>
                      </c:pt>
                      <c:pt idx="21">
                        <c:v>214.34607099999999</c:v>
                      </c:pt>
                      <c:pt idx="22">
                        <c:v>319.22377799999998</c:v>
                      </c:pt>
                      <c:pt idx="23">
                        <c:v>370.25603999999998</c:v>
                      </c:pt>
                      <c:pt idx="24">
                        <c:v>470.23585700000001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08'!$D$65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08'!$A$66:$A$90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08'!$D$66:$D$90</c:f>
              <c:numCache>
                <c:formatCode>0.000000%</c:formatCode>
                <c:ptCount val="25"/>
                <c:pt idx="0">
                  <c:v>6.397997228072432E-8</c:v>
                </c:pt>
                <c:pt idx="1">
                  <c:v>2.589292216184028E-7</c:v>
                </c:pt>
                <c:pt idx="2">
                  <c:v>4.1811238663948717E-7</c:v>
                </c:pt>
                <c:pt idx="3">
                  <c:v>7.2893979891240025E-7</c:v>
                </c:pt>
                <c:pt idx="4">
                  <c:v>5.9551929395124781E-7</c:v>
                </c:pt>
                <c:pt idx="5">
                  <c:v>1.158105681575062E-6</c:v>
                </c:pt>
                <c:pt idx="6">
                  <c:v>9.9314104697500088E-7</c:v>
                </c:pt>
                <c:pt idx="7">
                  <c:v>8.1171222712573927E-7</c:v>
                </c:pt>
                <c:pt idx="8">
                  <c:v>2.7523079254507785E-7</c:v>
                </c:pt>
                <c:pt idx="9">
                  <c:v>3.474204064083438E-7</c:v>
                </c:pt>
                <c:pt idx="10">
                  <c:v>3.3272266608823496E-7</c:v>
                </c:pt>
                <c:pt idx="11">
                  <c:v>2.9944557574693143E-7</c:v>
                </c:pt>
                <c:pt idx="12">
                  <c:v>3.4913697465047646E-7</c:v>
                </c:pt>
                <c:pt idx="13">
                  <c:v>5.2306176459853775E-7</c:v>
                </c:pt>
                <c:pt idx="14">
                  <c:v>6.9996744242242425E-7</c:v>
                </c:pt>
                <c:pt idx="15">
                  <c:v>9.7506960939638089E-7</c:v>
                </c:pt>
                <c:pt idx="16">
                  <c:v>1.1632581702743576E-6</c:v>
                </c:pt>
                <c:pt idx="17">
                  <c:v>1.7480622929572972E-6</c:v>
                </c:pt>
                <c:pt idx="18">
                  <c:v>7.8126674600323927E-7</c:v>
                </c:pt>
                <c:pt idx="19">
                  <c:v>6.5185403704211584E-7</c:v>
                </c:pt>
                <c:pt idx="20">
                  <c:v>9.5093204465596768E-7</c:v>
                </c:pt>
                <c:pt idx="21">
                  <c:v>1.3267885341333207E-6</c:v>
                </c:pt>
                <c:pt idx="22">
                  <c:v>1.9157457409038863E-6</c:v>
                </c:pt>
                <c:pt idx="23">
                  <c:v>2.1342778071902691E-6</c:v>
                </c:pt>
                <c:pt idx="24">
                  <c:v>2.620136857443998E-6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62304"/>
        <c:axId val="429361912"/>
      </c:lineChart>
      <c:catAx>
        <c:axId val="42936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1520"/>
        <c:crosses val="autoZero"/>
        <c:auto val="1"/>
        <c:lblAlgn val="ctr"/>
        <c:lblOffset val="100"/>
        <c:noMultiLvlLbl val="0"/>
      </c:catAx>
      <c:valAx>
        <c:axId val="4293615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1128"/>
        <c:crosses val="autoZero"/>
        <c:crossBetween val="between"/>
      </c:valAx>
      <c:valAx>
        <c:axId val="429361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2304"/>
        <c:crosses val="max"/>
        <c:crossBetween val="between"/>
      </c:valAx>
      <c:catAx>
        <c:axId val="42936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9361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08'!$C$35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08'!$A$36:$A$60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63088"/>
        <c:axId val="429363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08'!$B$35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08'!$A$36:$A$60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08'!$B$36:$B$60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3.950151</c:v>
                      </c:pt>
                      <c:pt idx="1">
                        <c:v>16.932155999999999</c:v>
                      </c:pt>
                      <c:pt idx="2">
                        <c:v>28.760771999999999</c:v>
                      </c:pt>
                      <c:pt idx="3">
                        <c:v>53.276423999999999</c:v>
                      </c:pt>
                      <c:pt idx="4">
                        <c:v>45.640956000000003</c:v>
                      </c:pt>
                      <c:pt idx="5">
                        <c:v>93.808887999999996</c:v>
                      </c:pt>
                      <c:pt idx="6">
                        <c:v>85.494696000000005</c:v>
                      </c:pt>
                      <c:pt idx="7">
                        <c:v>73.777888000000004</c:v>
                      </c:pt>
                      <c:pt idx="8">
                        <c:v>26.589012</c:v>
                      </c:pt>
                      <c:pt idx="9">
                        <c:v>35.731420999999997</c:v>
                      </c:pt>
                      <c:pt idx="10">
                        <c:v>35.341216000000003</c:v>
                      </c:pt>
                      <c:pt idx="11">
                        <c:v>32.871679999999998</c:v>
                      </c:pt>
                      <c:pt idx="12">
                        <c:v>40.188004999999997</c:v>
                      </c:pt>
                      <c:pt idx="13">
                        <c:v>64.205455000000001</c:v>
                      </c:pt>
                      <c:pt idx="14">
                        <c:v>91.651819000000003</c:v>
                      </c:pt>
                      <c:pt idx="15">
                        <c:v>135.10455300000001</c:v>
                      </c:pt>
                      <c:pt idx="16">
                        <c:v>168.412272</c:v>
                      </c:pt>
                      <c:pt idx="17">
                        <c:v>257.28998200000001</c:v>
                      </c:pt>
                      <c:pt idx="18">
                        <c:v>112.648813</c:v>
                      </c:pt>
                      <c:pt idx="19">
                        <c:v>97.545862999999997</c:v>
                      </c:pt>
                      <c:pt idx="20">
                        <c:v>147.564931</c:v>
                      </c:pt>
                      <c:pt idx="21">
                        <c:v>214.34607099999999</c:v>
                      </c:pt>
                      <c:pt idx="22">
                        <c:v>319.22377799999998</c:v>
                      </c:pt>
                      <c:pt idx="23">
                        <c:v>370.25603999999998</c:v>
                      </c:pt>
                      <c:pt idx="24">
                        <c:v>470.23585700000001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08'!$D$35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08'!$A$36:$A$60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08'!$D$36:$D$60</c:f>
              <c:numCache>
                <c:formatCode>0.00000%</c:formatCode>
                <c:ptCount val="25"/>
                <c:pt idx="0">
                  <c:v>9.5785498822945716E-7</c:v>
                </c:pt>
                <c:pt idx="1">
                  <c:v>3.4359371894044245E-6</c:v>
                </c:pt>
                <c:pt idx="2">
                  <c:v>5.1540255959594121E-6</c:v>
                </c:pt>
                <c:pt idx="3">
                  <c:v>6.5207030561034813E-6</c:v>
                </c:pt>
                <c:pt idx="4">
                  <c:v>4.9337692218729218E-6</c:v>
                </c:pt>
                <c:pt idx="5">
                  <c:v>9.6550823667171827E-6</c:v>
                </c:pt>
                <c:pt idx="6">
                  <c:v>8.0156657041053153E-6</c:v>
                </c:pt>
                <c:pt idx="7">
                  <c:v>7.4944212408674504E-6</c:v>
                </c:pt>
                <c:pt idx="8">
                  <c:v>3.0850676087368726E-6</c:v>
                </c:pt>
                <c:pt idx="9">
                  <c:v>3.5771994463396502E-6</c:v>
                </c:pt>
                <c:pt idx="10">
                  <c:v>3.5987719193333939E-6</c:v>
                </c:pt>
                <c:pt idx="11">
                  <c:v>3.3565343963951165E-6</c:v>
                </c:pt>
                <c:pt idx="12">
                  <c:v>4.244408530700485E-6</c:v>
                </c:pt>
                <c:pt idx="13">
                  <c:v>5.4841365580403404E-6</c:v>
                </c:pt>
                <c:pt idx="14">
                  <c:v>6.2532683206783855E-6</c:v>
                </c:pt>
                <c:pt idx="15">
                  <c:v>8.3095166739000509E-6</c:v>
                </c:pt>
                <c:pt idx="16">
                  <c:v>8.1195216557087805E-6</c:v>
                </c:pt>
                <c:pt idx="17">
                  <c:v>1.054543041070049E-5</c:v>
                </c:pt>
                <c:pt idx="18">
                  <c:v>4.8177233845687527E-6</c:v>
                </c:pt>
                <c:pt idx="19">
                  <c:v>3.3985952187381132E-6</c:v>
                </c:pt>
                <c:pt idx="20">
                  <c:v>4.3994711643583339E-6</c:v>
                </c:pt>
                <c:pt idx="21">
                  <c:v>5.7984700734826095E-6</c:v>
                </c:pt>
                <c:pt idx="22">
                  <c:v>8.396385962739649E-6</c:v>
                </c:pt>
                <c:pt idx="23">
                  <c:v>9.7843648236085244E-6</c:v>
                </c:pt>
                <c:pt idx="24">
                  <c:v>1.6099548289420748E-5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64264"/>
        <c:axId val="429363872"/>
      </c:lineChart>
      <c:catAx>
        <c:axId val="429363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3480"/>
        <c:crosses val="autoZero"/>
        <c:auto val="1"/>
        <c:lblAlgn val="ctr"/>
        <c:lblOffset val="100"/>
        <c:noMultiLvlLbl val="0"/>
      </c:catAx>
      <c:valAx>
        <c:axId val="42936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Millones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3088"/>
        <c:crosses val="autoZero"/>
        <c:crossBetween val="between"/>
      </c:valAx>
      <c:valAx>
        <c:axId val="4293638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4264"/>
        <c:crosses val="max"/>
        <c:crossBetween val="between"/>
      </c:valAx>
      <c:catAx>
        <c:axId val="429364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9363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08'!$C$95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08'!$A$96:$A$120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65048"/>
        <c:axId val="4293654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08'!$B$95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de Colombia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08'!$A$96:$A$120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08'!$B$96:$B$120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0.752</c:v>
                      </c:pt>
                      <c:pt idx="3">
                        <c:v>13.845000000000001</c:v>
                      </c:pt>
                      <c:pt idx="4">
                        <c:v>0</c:v>
                      </c:pt>
                      <c:pt idx="5">
                        <c:v>14.885</c:v>
                      </c:pt>
                      <c:pt idx="6">
                        <c:v>4.58</c:v>
                      </c:pt>
                      <c:pt idx="7">
                        <c:v>12.704000000000001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71.614000000000004</c:v>
                      </c:pt>
                      <c:pt idx="12">
                        <c:v>56.762</c:v>
                      </c:pt>
                      <c:pt idx="13">
                        <c:v>113.514</c:v>
                      </c:pt>
                      <c:pt idx="14">
                        <c:v>216.98099999999999</c:v>
                      </c:pt>
                      <c:pt idx="15">
                        <c:v>418.16500000000002</c:v>
                      </c:pt>
                      <c:pt idx="16">
                        <c:v>407.47699999999998</c:v>
                      </c:pt>
                      <c:pt idx="17">
                        <c:v>811.77499999999998</c:v>
                      </c:pt>
                      <c:pt idx="18">
                        <c:v>300.98</c:v>
                      </c:pt>
                      <c:pt idx="19">
                        <c:v>621.55600000000004</c:v>
                      </c:pt>
                      <c:pt idx="20">
                        <c:v>607.07799999999997</c:v>
                      </c:pt>
                      <c:pt idx="21">
                        <c:v>342.78100000000001</c:v>
                      </c:pt>
                      <c:pt idx="22">
                        <c:v>876.74400000000003</c:v>
                      </c:pt>
                      <c:pt idx="23">
                        <c:v>233.03800000000001</c:v>
                      </c:pt>
                      <c:pt idx="24">
                        <c:v>1012.679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08'!$D$95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08'!$A$96:$A$120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08'!$D$96:$D$120</c:f>
              <c:numCache>
                <c:formatCode>0.00000%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1.0932269646756852E-8</c:v>
                </c:pt>
                <c:pt idx="3">
                  <c:v>1.8943034757629719E-7</c:v>
                </c:pt>
                <c:pt idx="4">
                  <c:v>0</c:v>
                </c:pt>
                <c:pt idx="5">
                  <c:v>1.837608721067539E-7</c:v>
                </c:pt>
                <c:pt idx="6">
                  <c:v>5.3203136661781972E-8</c:v>
                </c:pt>
                <c:pt idx="7">
                  <c:v>1.3977076889765931E-7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6.5236992637859552E-7</c:v>
                </c:pt>
                <c:pt idx="12">
                  <c:v>4.9312507438750306E-7</c:v>
                </c:pt>
                <c:pt idx="13">
                  <c:v>9.2476306174667581E-7</c:v>
                </c:pt>
                <c:pt idx="14">
                  <c:v>1.657137166303923E-6</c:v>
                </c:pt>
                <c:pt idx="15">
                  <c:v>3.0179588634088265E-6</c:v>
                </c:pt>
                <c:pt idx="16">
                  <c:v>2.8145273727373287E-6</c:v>
                </c:pt>
                <c:pt idx="17">
                  <c:v>5.5153071131444592E-6</c:v>
                </c:pt>
                <c:pt idx="18">
                  <c:v>2.0874224854198419E-6</c:v>
                </c:pt>
                <c:pt idx="19">
                  <c:v>4.1535722314307612E-6</c:v>
                </c:pt>
                <c:pt idx="20">
                  <c:v>3.9121078422464439E-6</c:v>
                </c:pt>
                <c:pt idx="21">
                  <c:v>2.1217925684243304E-6</c:v>
                </c:pt>
                <c:pt idx="22">
                  <c:v>5.2615710345456691E-6</c:v>
                </c:pt>
                <c:pt idx="23">
                  <c:v>1.343307813782068E-6</c:v>
                </c:pt>
                <c:pt idx="24">
                  <c:v>5.6426100501721855E-6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66224"/>
        <c:axId val="429365832"/>
      </c:lineChart>
      <c:catAx>
        <c:axId val="429365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5440"/>
        <c:crosses val="autoZero"/>
        <c:auto val="1"/>
        <c:lblAlgn val="ctr"/>
        <c:lblOffset val="100"/>
        <c:noMultiLvlLbl val="0"/>
      </c:catAx>
      <c:valAx>
        <c:axId val="42936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5048"/>
        <c:crosses val="autoZero"/>
        <c:crossBetween val="between"/>
      </c:valAx>
      <c:valAx>
        <c:axId val="4293658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6224"/>
        <c:crosses val="max"/>
        <c:crossBetween val="between"/>
      </c:valAx>
      <c:catAx>
        <c:axId val="429366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9365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08'!$C$124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08'!$A$125:$A$149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67008"/>
        <c:axId val="4293674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08'!$B$124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08'!$A$125:$A$149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08'!$B$125:$B$149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28.761523999999998</c:v>
                      </c:pt>
                      <c:pt idx="3">
                        <c:v>53.290269000000002</c:v>
                      </c:pt>
                      <c:pt idx="4">
                        <c:v>0</c:v>
                      </c:pt>
                      <c:pt idx="5">
                        <c:v>93.823773000000003</c:v>
                      </c:pt>
                      <c:pt idx="6">
                        <c:v>85.499276000000009</c:v>
                      </c:pt>
                      <c:pt idx="7">
                        <c:v>73.790592000000004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32.943293999999995</c:v>
                      </c:pt>
                      <c:pt idx="12">
                        <c:v>40.244766999999996</c:v>
                      </c:pt>
                      <c:pt idx="13">
                        <c:v>64.318968999999996</c:v>
                      </c:pt>
                      <c:pt idx="14">
                        <c:v>91.868800000000007</c:v>
                      </c:pt>
                      <c:pt idx="15">
                        <c:v>135.522718</c:v>
                      </c:pt>
                      <c:pt idx="16">
                        <c:v>168.819749</c:v>
                      </c:pt>
                      <c:pt idx="17">
                        <c:v>258.10175700000002</c:v>
                      </c:pt>
                      <c:pt idx="18">
                        <c:v>112.949793</c:v>
                      </c:pt>
                      <c:pt idx="19">
                        <c:v>98.167418999999995</c:v>
                      </c:pt>
                      <c:pt idx="20">
                        <c:v>148.172009</c:v>
                      </c:pt>
                      <c:pt idx="21">
                        <c:v>214.688852</c:v>
                      </c:pt>
                      <c:pt idx="22">
                        <c:v>320.10052199999996</c:v>
                      </c:pt>
                      <c:pt idx="23">
                        <c:v>370.48907800000001</c:v>
                      </c:pt>
                      <c:pt idx="24">
                        <c:v>471.248536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08'!$D$124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08'!$A$125:$A$149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08'!$D$125:$D$149</c:f>
              <c:numCache>
                <c:formatCode>0.0000%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5.1541603568499801E-6</c:v>
                </c:pt>
                <c:pt idx="3">
                  <c:v>6.5223975980234082E-6</c:v>
                </c:pt>
                <c:pt idx="4">
                  <c:v>0</c:v>
                </c:pt>
                <c:pt idx="5">
                  <c:v>9.6566143740151329E-6</c:v>
                </c:pt>
                <c:pt idx="6">
                  <c:v>8.0160951079238262E-6</c:v>
                </c:pt>
                <c:pt idx="7">
                  <c:v>7.4957117241006375E-6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3.3638469175155268E-6</c:v>
                </c:pt>
                <c:pt idx="12">
                  <c:v>4.2504033820751579E-6</c:v>
                </c:pt>
                <c:pt idx="13">
                  <c:v>5.4938324051805768E-6</c:v>
                </c:pt>
                <c:pt idx="14">
                  <c:v>6.2680726140169518E-6</c:v>
                </c:pt>
                <c:pt idx="15">
                  <c:v>8.3352356371976211E-6</c:v>
                </c:pt>
                <c:pt idx="16">
                  <c:v>8.1391670074780588E-6</c:v>
                </c:pt>
                <c:pt idx="17">
                  <c:v>1.0578702272687119E-5</c:v>
                </c:pt>
                <c:pt idx="18">
                  <c:v>4.8305955875300691E-6</c:v>
                </c:pt>
                <c:pt idx="19">
                  <c:v>3.4202508500976717E-6</c:v>
                </c:pt>
                <c:pt idx="20">
                  <c:v>4.4175704657127754E-6</c:v>
                </c:pt>
                <c:pt idx="21">
                  <c:v>5.8077429533678611E-6</c:v>
                </c:pt>
                <c:pt idx="22">
                  <c:v>8.4194465287809309E-6</c:v>
                </c:pt>
                <c:pt idx="23">
                  <c:v>9.7905230723970242E-6</c:v>
                </c:pt>
                <c:pt idx="24">
                  <c:v>1.6134219559634371E-5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68184"/>
        <c:axId val="429367792"/>
      </c:lineChart>
      <c:catAx>
        <c:axId val="429367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7400"/>
        <c:crosses val="autoZero"/>
        <c:auto val="1"/>
        <c:lblAlgn val="ctr"/>
        <c:lblOffset val="100"/>
        <c:noMultiLvlLbl val="0"/>
      </c:catAx>
      <c:valAx>
        <c:axId val="42936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7008"/>
        <c:crosses val="autoZero"/>
        <c:crossBetween val="between"/>
        <c:majorUnit val="80000"/>
      </c:valAx>
      <c:valAx>
        <c:axId val="429367792"/>
        <c:scaling>
          <c:orientation val="minMax"/>
          <c:max val="6.0000000000000022E-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8184"/>
        <c:crosses val="max"/>
        <c:crossBetween val="between"/>
        <c:majorUnit val="1.0000000000000004E-5"/>
      </c:valAx>
      <c:catAx>
        <c:axId val="429368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936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08'!$C$153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08'!$A$154:$A$178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68968"/>
        <c:axId val="429369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08'!$B$153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08'!$A$154:$A$178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08'!$B$154:$B$178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28.761523999999998</c:v>
                      </c:pt>
                      <c:pt idx="3">
                        <c:v>53.290269000000002</c:v>
                      </c:pt>
                      <c:pt idx="4">
                        <c:v>0</c:v>
                      </c:pt>
                      <c:pt idx="5">
                        <c:v>93.823773000000003</c:v>
                      </c:pt>
                      <c:pt idx="6">
                        <c:v>85.499276000000009</c:v>
                      </c:pt>
                      <c:pt idx="7">
                        <c:v>73.790592000000004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32.943293999999995</c:v>
                      </c:pt>
                      <c:pt idx="12">
                        <c:v>40.244766999999996</c:v>
                      </c:pt>
                      <c:pt idx="13">
                        <c:v>64.318968999999996</c:v>
                      </c:pt>
                      <c:pt idx="14">
                        <c:v>91.868800000000007</c:v>
                      </c:pt>
                      <c:pt idx="15">
                        <c:v>135.522718</c:v>
                      </c:pt>
                      <c:pt idx="16">
                        <c:v>168.819749</c:v>
                      </c:pt>
                      <c:pt idx="17">
                        <c:v>258.10175700000002</c:v>
                      </c:pt>
                      <c:pt idx="18">
                        <c:v>112.949793</c:v>
                      </c:pt>
                      <c:pt idx="19">
                        <c:v>98.167418999999995</c:v>
                      </c:pt>
                      <c:pt idx="20">
                        <c:v>148.172009</c:v>
                      </c:pt>
                      <c:pt idx="21">
                        <c:v>214.688852</c:v>
                      </c:pt>
                      <c:pt idx="22">
                        <c:v>320.10052199999996</c:v>
                      </c:pt>
                      <c:pt idx="23">
                        <c:v>370.48907800000001</c:v>
                      </c:pt>
                      <c:pt idx="24">
                        <c:v>471.248536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08'!$D$153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08'!$A$154:$A$178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08'!$D$154:$D$178</c:f>
              <c:numCache>
                <c:formatCode>0.00000%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4.1812331890913392E-7</c:v>
                </c:pt>
                <c:pt idx="3">
                  <c:v>7.2912922925997662E-7</c:v>
                </c:pt>
                <c:pt idx="4">
                  <c:v>0</c:v>
                </c:pt>
                <c:pt idx="5">
                  <c:v>1.1582894424471688E-6</c:v>
                </c:pt>
                <c:pt idx="6">
                  <c:v>9.9319425011166284E-7</c:v>
                </c:pt>
                <c:pt idx="7">
                  <c:v>8.1185199789463678E-7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3.0009794567330999E-7</c:v>
                </c:pt>
                <c:pt idx="12">
                  <c:v>3.4963009972486393E-7</c:v>
                </c:pt>
                <c:pt idx="13">
                  <c:v>5.2398652766028433E-7</c:v>
                </c:pt>
                <c:pt idx="14">
                  <c:v>7.0162457958872823E-7</c:v>
                </c:pt>
                <c:pt idx="15">
                  <c:v>9.7808756825978967E-7</c:v>
                </c:pt>
                <c:pt idx="16">
                  <c:v>1.166072697647095E-6</c:v>
                </c:pt>
                <c:pt idx="17">
                  <c:v>1.7535776000704415E-6</c:v>
                </c:pt>
                <c:pt idx="18">
                  <c:v>7.8335416848865909E-7</c:v>
                </c:pt>
                <c:pt idx="19">
                  <c:v>6.5600760927354645E-7</c:v>
                </c:pt>
                <c:pt idx="20">
                  <c:v>9.54844152498214E-7</c:v>
                </c:pt>
                <c:pt idx="21">
                  <c:v>1.3289103267017451E-6</c:v>
                </c:pt>
                <c:pt idx="22">
                  <c:v>1.9210073119384315E-6</c:v>
                </c:pt>
                <c:pt idx="23">
                  <c:v>2.1356211150040509E-6</c:v>
                </c:pt>
                <c:pt idx="24">
                  <c:v>2.6257794674941701E-6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70144"/>
        <c:axId val="429369752"/>
      </c:lineChart>
      <c:catAx>
        <c:axId val="429368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9360"/>
        <c:crosses val="autoZero"/>
        <c:auto val="1"/>
        <c:lblAlgn val="ctr"/>
        <c:lblOffset val="100"/>
        <c:noMultiLvlLbl val="0"/>
      </c:catAx>
      <c:valAx>
        <c:axId val="42936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68968"/>
        <c:crosses val="autoZero"/>
        <c:crossBetween val="between"/>
        <c:majorUnit val="4000"/>
      </c:valAx>
      <c:valAx>
        <c:axId val="4293697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70144"/>
        <c:crosses val="max"/>
        <c:crossBetween val="between"/>
      </c:valAx>
      <c:catAx>
        <c:axId val="429370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9369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08'!$D$183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08'!$A$184:$A$208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70928"/>
        <c:axId val="4293713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08'!$B$183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08'!$A$184:$A$208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08'!$B$184:$B$208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28.761523999999998</c:v>
                      </c:pt>
                      <c:pt idx="3">
                        <c:v>53.290269000000002</c:v>
                      </c:pt>
                      <c:pt idx="4">
                        <c:v>0</c:v>
                      </c:pt>
                      <c:pt idx="5">
                        <c:v>93.823773000000003</c:v>
                      </c:pt>
                      <c:pt idx="6">
                        <c:v>85.499276000000009</c:v>
                      </c:pt>
                      <c:pt idx="7">
                        <c:v>73.790592000000004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32.943293999999995</c:v>
                      </c:pt>
                      <c:pt idx="12">
                        <c:v>40.244766999999996</c:v>
                      </c:pt>
                      <c:pt idx="13">
                        <c:v>64.318968999999996</c:v>
                      </c:pt>
                      <c:pt idx="14">
                        <c:v>91.868800000000007</c:v>
                      </c:pt>
                      <c:pt idx="15">
                        <c:v>135.522718</c:v>
                      </c:pt>
                      <c:pt idx="16">
                        <c:v>168.819749</c:v>
                      </c:pt>
                      <c:pt idx="17">
                        <c:v>258.10175700000002</c:v>
                      </c:pt>
                      <c:pt idx="18">
                        <c:v>112.949793</c:v>
                      </c:pt>
                      <c:pt idx="19">
                        <c:v>98.167418999999995</c:v>
                      </c:pt>
                      <c:pt idx="20">
                        <c:v>148.172009</c:v>
                      </c:pt>
                      <c:pt idx="21">
                        <c:v>214.688852</c:v>
                      </c:pt>
                      <c:pt idx="22">
                        <c:v>320.10052199999996</c:v>
                      </c:pt>
                      <c:pt idx="23">
                        <c:v>370.48907800000001</c:v>
                      </c:pt>
                      <c:pt idx="24">
                        <c:v>471.248536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08'!$C$183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08'!$A$184:$A$208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08'!$C$184:$C$208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14.380761999999999</c:v>
                      </c:pt>
                      <c:pt idx="3">
                        <c:v>26.645134500000001</c:v>
                      </c:pt>
                      <c:pt idx="4">
                        <c:v>0</c:v>
                      </c:pt>
                      <c:pt idx="5">
                        <c:v>46.911886500000001</c:v>
                      </c:pt>
                      <c:pt idx="6">
                        <c:v>42.749638000000004</c:v>
                      </c:pt>
                      <c:pt idx="7">
                        <c:v>36.895296000000002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16.471646999999997</c:v>
                      </c:pt>
                      <c:pt idx="12">
                        <c:v>20.122383499999998</c:v>
                      </c:pt>
                      <c:pt idx="13">
                        <c:v>32.159484499999998</c:v>
                      </c:pt>
                      <c:pt idx="14">
                        <c:v>45.934400000000004</c:v>
                      </c:pt>
                      <c:pt idx="15">
                        <c:v>67.761358999999999</c:v>
                      </c:pt>
                      <c:pt idx="16">
                        <c:v>84.409874500000001</c:v>
                      </c:pt>
                      <c:pt idx="17">
                        <c:v>129.05087850000001</c:v>
                      </c:pt>
                      <c:pt idx="18">
                        <c:v>56.4748965</c:v>
                      </c:pt>
                      <c:pt idx="19">
                        <c:v>49.083709499999998</c:v>
                      </c:pt>
                      <c:pt idx="20">
                        <c:v>74.086004500000001</c:v>
                      </c:pt>
                      <c:pt idx="21">
                        <c:v>107.344426</c:v>
                      </c:pt>
                      <c:pt idx="22">
                        <c:v>160.05026099999998</c:v>
                      </c:pt>
                      <c:pt idx="23">
                        <c:v>185.244539</c:v>
                      </c:pt>
                      <c:pt idx="24">
                        <c:v>235.624268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08'!$E$183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08'!$A$184:$A$208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08'!$E$184:$E$208</c:f>
              <c:numCache>
                <c:formatCode>0.0000%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2.5770801784249896E-6</c:v>
                </c:pt>
                <c:pt idx="3">
                  <c:v>3.2611987990117041E-6</c:v>
                </c:pt>
                <c:pt idx="4">
                  <c:v>0</c:v>
                </c:pt>
                <c:pt idx="5">
                  <c:v>4.8283071870075665E-6</c:v>
                </c:pt>
                <c:pt idx="6">
                  <c:v>4.0080475539619139E-6</c:v>
                </c:pt>
                <c:pt idx="7">
                  <c:v>3.7478558620503192E-6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1.6819234587577636E-6</c:v>
                </c:pt>
                <c:pt idx="12">
                  <c:v>2.1252016910375793E-6</c:v>
                </c:pt>
                <c:pt idx="13">
                  <c:v>2.7469162025902884E-6</c:v>
                </c:pt>
                <c:pt idx="14">
                  <c:v>3.1340363070084759E-6</c:v>
                </c:pt>
                <c:pt idx="15">
                  <c:v>4.1676178185988097E-6</c:v>
                </c:pt>
                <c:pt idx="16">
                  <c:v>4.0695835037390286E-6</c:v>
                </c:pt>
                <c:pt idx="17">
                  <c:v>5.2893511363435603E-6</c:v>
                </c:pt>
                <c:pt idx="18">
                  <c:v>2.415297793765035E-6</c:v>
                </c:pt>
                <c:pt idx="19">
                  <c:v>1.7101254250488358E-6</c:v>
                </c:pt>
                <c:pt idx="20">
                  <c:v>2.2087852328563877E-6</c:v>
                </c:pt>
                <c:pt idx="21">
                  <c:v>2.9038714766839301E-6</c:v>
                </c:pt>
                <c:pt idx="22">
                  <c:v>4.2097232643904646E-6</c:v>
                </c:pt>
                <c:pt idx="23">
                  <c:v>4.8952615361985121E-6</c:v>
                </c:pt>
                <c:pt idx="24">
                  <c:v>8.0671097798171854E-6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72104"/>
        <c:axId val="429371712"/>
      </c:lineChart>
      <c:catAx>
        <c:axId val="42937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71320"/>
        <c:crosses val="autoZero"/>
        <c:auto val="1"/>
        <c:lblAlgn val="ctr"/>
        <c:lblOffset val="100"/>
        <c:noMultiLvlLbl val="0"/>
      </c:catAx>
      <c:valAx>
        <c:axId val="429371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70928"/>
        <c:crosses val="autoZero"/>
        <c:crossBetween val="between"/>
        <c:majorUnit val="80000"/>
      </c:valAx>
      <c:valAx>
        <c:axId val="429371712"/>
        <c:scaling>
          <c:orientation val="minMax"/>
          <c:max val="3.0000000000000011E-5"/>
          <c:min val="0"/>
        </c:scaling>
        <c:delete val="0"/>
        <c:axPos val="r"/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72104"/>
        <c:crosses val="max"/>
        <c:crossBetween val="between"/>
        <c:majorUnit val="6.0000000000000018E-6"/>
      </c:valAx>
      <c:catAx>
        <c:axId val="429372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9371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08'!$D$212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08'!$A$213:$A$237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72888"/>
        <c:axId val="429373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08'!$B$212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08'!$A$213:$A$237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08'!$B$213:$B$237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28.761523999999998</c:v>
                      </c:pt>
                      <c:pt idx="3">
                        <c:v>53.290269000000002</c:v>
                      </c:pt>
                      <c:pt idx="4">
                        <c:v>0</c:v>
                      </c:pt>
                      <c:pt idx="5">
                        <c:v>93.823773000000003</c:v>
                      </c:pt>
                      <c:pt idx="6">
                        <c:v>85.499276000000009</c:v>
                      </c:pt>
                      <c:pt idx="7">
                        <c:v>73.790592000000004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32.943293999999995</c:v>
                      </c:pt>
                      <c:pt idx="12">
                        <c:v>40.244766999999996</c:v>
                      </c:pt>
                      <c:pt idx="13">
                        <c:v>64.318968999999996</c:v>
                      </c:pt>
                      <c:pt idx="14">
                        <c:v>91.868800000000007</c:v>
                      </c:pt>
                      <c:pt idx="15">
                        <c:v>135.522718</c:v>
                      </c:pt>
                      <c:pt idx="16">
                        <c:v>168.819749</c:v>
                      </c:pt>
                      <c:pt idx="17">
                        <c:v>258.10175700000002</c:v>
                      </c:pt>
                      <c:pt idx="18">
                        <c:v>112.949793</c:v>
                      </c:pt>
                      <c:pt idx="19">
                        <c:v>98.167418999999995</c:v>
                      </c:pt>
                      <c:pt idx="20">
                        <c:v>148.172009</c:v>
                      </c:pt>
                      <c:pt idx="21">
                        <c:v>214.688852</c:v>
                      </c:pt>
                      <c:pt idx="22">
                        <c:v>320.10052199999996</c:v>
                      </c:pt>
                      <c:pt idx="23">
                        <c:v>370.48907800000001</c:v>
                      </c:pt>
                      <c:pt idx="24">
                        <c:v>471.248536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08'!$C$212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08'!$A$213:$A$237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08'!$C$213:$C$237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14.380761999999999</c:v>
                      </c:pt>
                      <c:pt idx="3">
                        <c:v>26.645134500000001</c:v>
                      </c:pt>
                      <c:pt idx="4">
                        <c:v>0</c:v>
                      </c:pt>
                      <c:pt idx="5">
                        <c:v>46.911886500000001</c:v>
                      </c:pt>
                      <c:pt idx="6">
                        <c:v>42.749638000000004</c:v>
                      </c:pt>
                      <c:pt idx="7">
                        <c:v>36.895296000000002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16.471646999999997</c:v>
                      </c:pt>
                      <c:pt idx="12">
                        <c:v>20.122383499999998</c:v>
                      </c:pt>
                      <c:pt idx="13">
                        <c:v>32.159484499999998</c:v>
                      </c:pt>
                      <c:pt idx="14">
                        <c:v>45.934400000000004</c:v>
                      </c:pt>
                      <c:pt idx="15">
                        <c:v>67.761358999999999</c:v>
                      </c:pt>
                      <c:pt idx="16">
                        <c:v>84.409874500000001</c:v>
                      </c:pt>
                      <c:pt idx="17">
                        <c:v>129.05087850000001</c:v>
                      </c:pt>
                      <c:pt idx="18">
                        <c:v>56.4748965</c:v>
                      </c:pt>
                      <c:pt idx="19">
                        <c:v>49.083709499999998</c:v>
                      </c:pt>
                      <c:pt idx="20">
                        <c:v>74.086004500000001</c:v>
                      </c:pt>
                      <c:pt idx="21">
                        <c:v>107.344426</c:v>
                      </c:pt>
                      <c:pt idx="22">
                        <c:v>160.05026099999998</c:v>
                      </c:pt>
                      <c:pt idx="23">
                        <c:v>185.244539</c:v>
                      </c:pt>
                      <c:pt idx="24">
                        <c:v>235.624268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08'!$E$212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08'!$A$213:$A$237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08'!$E$213:$E$237</c:f>
              <c:numCache>
                <c:formatCode>0.000000%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2.0906165945456696E-7</c:v>
                </c:pt>
                <c:pt idx="3">
                  <c:v>3.6456461462998831E-7</c:v>
                </c:pt>
                <c:pt idx="4">
                  <c:v>0</c:v>
                </c:pt>
                <c:pt idx="5">
                  <c:v>5.7914472122358441E-7</c:v>
                </c:pt>
                <c:pt idx="6">
                  <c:v>4.9659712505583142E-7</c:v>
                </c:pt>
                <c:pt idx="7">
                  <c:v>4.0592599894731839E-7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1.5004897283665499E-7</c:v>
                </c:pt>
                <c:pt idx="12">
                  <c:v>1.7481504986243197E-7</c:v>
                </c:pt>
                <c:pt idx="13">
                  <c:v>2.6199326383014217E-7</c:v>
                </c:pt>
                <c:pt idx="14">
                  <c:v>3.5081228979436412E-7</c:v>
                </c:pt>
                <c:pt idx="15">
                  <c:v>4.8904378412989484E-7</c:v>
                </c:pt>
                <c:pt idx="16">
                  <c:v>5.8303634882354748E-7</c:v>
                </c:pt>
                <c:pt idx="17">
                  <c:v>8.7678880003522073E-7</c:v>
                </c:pt>
                <c:pt idx="18">
                  <c:v>3.9167708424432955E-7</c:v>
                </c:pt>
                <c:pt idx="19">
                  <c:v>3.2800380463677322E-7</c:v>
                </c:pt>
                <c:pt idx="20">
                  <c:v>4.77422076249107E-7</c:v>
                </c:pt>
                <c:pt idx="21">
                  <c:v>6.6445516335087253E-7</c:v>
                </c:pt>
                <c:pt idx="22">
                  <c:v>9.6050365596921573E-7</c:v>
                </c:pt>
                <c:pt idx="23">
                  <c:v>1.0678105575020255E-6</c:v>
                </c:pt>
                <c:pt idx="24">
                  <c:v>1.3128897337470851E-6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03216"/>
        <c:axId val="194402824"/>
      </c:lineChart>
      <c:catAx>
        <c:axId val="429372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73280"/>
        <c:crosses val="autoZero"/>
        <c:auto val="1"/>
        <c:lblAlgn val="ctr"/>
        <c:lblOffset val="100"/>
        <c:noMultiLvlLbl val="0"/>
      </c:catAx>
      <c:valAx>
        <c:axId val="42937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9372888"/>
        <c:crosses val="autoZero"/>
        <c:crossBetween val="between"/>
        <c:majorUnit val="4000"/>
      </c:valAx>
      <c:valAx>
        <c:axId val="194402824"/>
        <c:scaling>
          <c:orientation val="minMax"/>
        </c:scaling>
        <c:delete val="0"/>
        <c:axPos val="r"/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3216"/>
        <c:crosses val="max"/>
        <c:crossBetween val="between"/>
      </c:valAx>
      <c:catAx>
        <c:axId val="194403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02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00'!$D$5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00'!$B$6:$B$30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00'!$D$6:$D$30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079440"/>
        <c:axId val="5030798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00'!$C$5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00'!$B$6:$B$30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00'!$C$6:$C$30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734.10299999999995</c:v>
                      </c:pt>
                      <c:pt idx="1">
                        <c:v>1414.192</c:v>
                      </c:pt>
                      <c:pt idx="2">
                        <c:v>2008.502</c:v>
                      </c:pt>
                      <c:pt idx="3">
                        <c:v>2032.5329999999999</c:v>
                      </c:pt>
                      <c:pt idx="4">
                        <c:v>2091.5880000000002</c:v>
                      </c:pt>
                      <c:pt idx="5">
                        <c:v>1953.7819999999999</c:v>
                      </c:pt>
                      <c:pt idx="6">
                        <c:v>1089.6410000000001</c:v>
                      </c:pt>
                      <c:pt idx="7">
                        <c:v>943.56700000000001</c:v>
                      </c:pt>
                      <c:pt idx="8">
                        <c:v>1843.0740000000001</c:v>
                      </c:pt>
                      <c:pt idx="9">
                        <c:v>1791.836</c:v>
                      </c:pt>
                      <c:pt idx="10">
                        <c:v>1957.27</c:v>
                      </c:pt>
                      <c:pt idx="11">
                        <c:v>1236.923</c:v>
                      </c:pt>
                      <c:pt idx="12">
                        <c:v>1441.682</c:v>
                      </c:pt>
                      <c:pt idx="13">
                        <c:v>2121.6509999999998</c:v>
                      </c:pt>
                      <c:pt idx="14">
                        <c:v>3450.0210000000002</c:v>
                      </c:pt>
                      <c:pt idx="15">
                        <c:v>1953.683</c:v>
                      </c:pt>
                      <c:pt idx="16">
                        <c:v>2639.74</c:v>
                      </c:pt>
                      <c:pt idx="17">
                        <c:v>1717.326</c:v>
                      </c:pt>
                      <c:pt idx="18">
                        <c:v>1575.6310000000001</c:v>
                      </c:pt>
                      <c:pt idx="19">
                        <c:v>1504.893</c:v>
                      </c:pt>
                      <c:pt idx="20">
                        <c:v>972.726</c:v>
                      </c:pt>
                      <c:pt idx="21">
                        <c:v>1055.278</c:v>
                      </c:pt>
                      <c:pt idx="22">
                        <c:v>1403.4190000000001</c:v>
                      </c:pt>
                      <c:pt idx="23">
                        <c:v>1707.6569999999999</c:v>
                      </c:pt>
                      <c:pt idx="24">
                        <c:v>2333.547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00'!$E$5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00'!$B$6:$B$30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00'!$E$6:$E$30</c:f>
              <c:numCache>
                <c:formatCode>0.0000000%</c:formatCode>
                <c:ptCount val="25"/>
                <c:pt idx="0">
                  <c:v>2.3767654882499359E-8</c:v>
                </c:pt>
                <c:pt idx="1">
                  <c:v>3.8482692486662147E-8</c:v>
                </c:pt>
                <c:pt idx="2">
                  <c:v>3.7082013109129384E-8</c:v>
                </c:pt>
                <c:pt idx="3">
                  <c:v>2.4602817712240187E-8</c:v>
                </c:pt>
                <c:pt idx="4">
                  <c:v>2.1456964566875821E-8</c:v>
                </c:pt>
                <c:pt idx="5">
                  <c:v>1.4219176750260108E-8</c:v>
                </c:pt>
                <c:pt idx="6">
                  <c:v>6.4705357343802506E-9</c:v>
                </c:pt>
                <c:pt idx="7">
                  <c:v>5.1101891940956293E-9</c:v>
                </c:pt>
                <c:pt idx="8">
                  <c:v>1.0099188349369011E-8</c:v>
                </c:pt>
                <c:pt idx="9">
                  <c:v>1.0307504688272991E-8</c:v>
                </c:pt>
                <c:pt idx="10">
                  <c:v>1.1542375225235453E-8</c:v>
                </c:pt>
                <c:pt idx="11">
                  <c:v>6.4061432782477751E-9</c:v>
                </c:pt>
                <c:pt idx="12">
                  <c:v>7.0743809017497203E-9</c:v>
                </c:pt>
                <c:pt idx="13">
                  <c:v>9.6256878825955635E-9</c:v>
                </c:pt>
                <c:pt idx="14">
                  <c:v>1.3528237317874273E-8</c:v>
                </c:pt>
                <c:pt idx="15">
                  <c:v>6.7454544349685859E-9</c:v>
                </c:pt>
                <c:pt idx="16">
                  <c:v>8.3571371630562699E-9</c:v>
                </c:pt>
                <c:pt idx="17">
                  <c:v>4.8105106820544278E-9</c:v>
                </c:pt>
                <c:pt idx="18">
                  <c:v>3.806205345424699E-9</c:v>
                </c:pt>
                <c:pt idx="19">
                  <c:v>3.1567045872926743E-9</c:v>
                </c:pt>
                <c:pt idx="20">
                  <c:v>2.1620683766576741E-9</c:v>
                </c:pt>
                <c:pt idx="21">
                  <c:v>2.1331325199769813E-9</c:v>
                </c:pt>
                <c:pt idx="22">
                  <c:v>2.3971778523715768E-9</c:v>
                </c:pt>
                <c:pt idx="23">
                  <c:v>2.8118399935979919E-9</c:v>
                </c:pt>
                <c:pt idx="24">
                  <c:v>3.6160449679102807E-9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080616"/>
        <c:axId val="503080224"/>
      </c:lineChart>
      <c:catAx>
        <c:axId val="50307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3079832"/>
        <c:crosses val="autoZero"/>
        <c:auto val="1"/>
        <c:lblAlgn val="ctr"/>
        <c:lblOffset val="100"/>
        <c:noMultiLvlLbl val="0"/>
      </c:catAx>
      <c:valAx>
        <c:axId val="50307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3079440"/>
        <c:crosses val="autoZero"/>
        <c:crossBetween val="between"/>
      </c:valAx>
      <c:valAx>
        <c:axId val="503080224"/>
        <c:scaling>
          <c:orientation val="minMax"/>
        </c:scaling>
        <c:delete val="0"/>
        <c:axPos val="r"/>
        <c:numFmt formatCode="0.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3080616"/>
        <c:crosses val="max"/>
        <c:crossBetween val="between"/>
      </c:valAx>
      <c:catAx>
        <c:axId val="503080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3080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08'!$D$5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08'!$D$6:$D$30</c:f>
              <c:numCache>
                <c:formatCode>"$"\ #,##0.0000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2.0769402516213113E-5</c:v>
                </c:pt>
                <c:pt idx="3">
                  <c:v>3.7567253727929236E-4</c:v>
                </c:pt>
                <c:pt idx="4">
                  <c:v>0</c:v>
                </c:pt>
                <c:pt idx="5">
                  <c:v>3.910103091700258E-4</c:v>
                </c:pt>
                <c:pt idx="6">
                  <c:v>1.1854324023866947E-4</c:v>
                </c:pt>
                <c:pt idx="7">
                  <c:v>3.2421019191895888E-4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1.7327858155363918E-3</c:v>
                </c:pt>
                <c:pt idx="12">
                  <c:v>1.3563539298552206E-3</c:v>
                </c:pt>
                <c:pt idx="13">
                  <c:v>2.6792081256426211E-3</c:v>
                </c:pt>
                <c:pt idx="14">
                  <c:v>5.0591775080888642E-3</c:v>
                </c:pt>
                <c:pt idx="15">
                  <c:v>9.6338161518663475E-3</c:v>
                </c:pt>
                <c:pt idx="16">
                  <c:v>9.2762460130094686E-3</c:v>
                </c:pt>
                <c:pt idx="17">
                  <c:v>1.8262183425773019E-2</c:v>
                </c:pt>
                <c:pt idx="18">
                  <c:v>6.6915921694009305E-3</c:v>
                </c:pt>
                <c:pt idx="19">
                  <c:v>1.3657694607799534E-2</c:v>
                </c:pt>
                <c:pt idx="20">
                  <c:v>1.3184564244568001E-2</c:v>
                </c:pt>
                <c:pt idx="21">
                  <c:v>7.3586858118455346E-3</c:v>
                </c:pt>
                <c:pt idx="22">
                  <c:v>1.860619138067883E-2</c:v>
                </c:pt>
                <c:pt idx="23">
                  <c:v>4.8894096228494326E-3</c:v>
                </c:pt>
                <c:pt idx="24">
                  <c:v>2.1008453655919121E-2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08'!$D$35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08'!$D$36:$D$60</c:f>
              <c:numCache>
                <c:formatCode>"$"\ #,##0.00</c:formatCode>
                <c:ptCount val="25"/>
                <c:pt idx="0">
                  <c:v>0.11341046098298134</c:v>
                </c:pt>
                <c:pt idx="1">
                  <c:v>0.47668096621316886</c:v>
                </c:pt>
                <c:pt idx="2">
                  <c:v>0.79434049248009531</c:v>
                </c:pt>
                <c:pt idx="3">
                  <c:v>1.4456113673707034</c:v>
                </c:pt>
                <c:pt idx="4">
                  <c:v>1.2179956204314113</c:v>
                </c:pt>
                <c:pt idx="5">
                  <c:v>2.4642420087185974</c:v>
                </c:pt>
                <c:pt idx="6">
                  <c:v>2.2128424207554618</c:v>
                </c:pt>
                <c:pt idx="7">
                  <c:v>1.8828355815377407</c:v>
                </c:pt>
                <c:pt idx="8">
                  <c:v>0.66922924628898717</c:v>
                </c:pt>
                <c:pt idx="9">
                  <c:v>0.88673338550946657</c:v>
                </c:pt>
                <c:pt idx="10">
                  <c:v>0.86591888706740749</c:v>
                </c:pt>
                <c:pt idx="11">
                  <c:v>0.79536935287585242</c:v>
                </c:pt>
                <c:pt idx="12">
                  <c:v>0.96031074512510572</c:v>
                </c:pt>
                <c:pt idx="13">
                  <c:v>1.5154058243615911</c:v>
                </c:pt>
                <c:pt idx="14">
                  <c:v>2.1369743030967303</c:v>
                </c:pt>
                <c:pt idx="15">
                  <c:v>3.1125809785182477</c:v>
                </c:pt>
                <c:pt idx="16">
                  <c:v>3.8339186424801062</c:v>
                </c:pt>
                <c:pt idx="17">
                  <c:v>5.788151698312757</c:v>
                </c:pt>
                <c:pt idx="18">
                  <c:v>2.5044850653302873</c:v>
                </c:pt>
                <c:pt idx="19">
                  <c:v>2.1434136378833961</c:v>
                </c:pt>
                <c:pt idx="20">
                  <c:v>3.2048259251937052</c:v>
                </c:pt>
                <c:pt idx="21">
                  <c:v>4.6014959740841404</c:v>
                </c:pt>
                <c:pt idx="22">
                  <c:v>6.774541607049871</c:v>
                </c:pt>
                <c:pt idx="23">
                  <c:v>7.7684044872257934</c:v>
                </c:pt>
                <c:pt idx="24">
                  <c:v>9.7552415021303993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08'!$D$64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08'!$D$65:$D$89</c:f>
              <c:numCache>
                <c:formatCode>"$"\ #,##0.0000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0.79436126188261147</c:v>
                </c:pt>
                <c:pt idx="3">
                  <c:v>1.4459870399079826</c:v>
                </c:pt>
                <c:pt idx="4">
                  <c:v>0</c:v>
                </c:pt>
                <c:pt idx="5">
                  <c:v>2.4646330190277674</c:v>
                </c:pt>
                <c:pt idx="6">
                  <c:v>2.2129609639957004</c:v>
                </c:pt>
                <c:pt idx="7">
                  <c:v>1.8831597917296594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0.79710213869138868</c:v>
                </c:pt>
                <c:pt idx="12">
                  <c:v>0.96166709905496084</c:v>
                </c:pt>
                <c:pt idx="13">
                  <c:v>1.5180850324872335</c:v>
                </c:pt>
                <c:pt idx="14">
                  <c:v>2.1420334806048191</c:v>
                </c:pt>
                <c:pt idx="15">
                  <c:v>3.1222147946701142</c:v>
                </c:pt>
                <c:pt idx="16">
                  <c:v>3.8431948884931155</c:v>
                </c:pt>
                <c:pt idx="17">
                  <c:v>5.8064138817385302</c:v>
                </c:pt>
                <c:pt idx="18">
                  <c:v>2.5111766574996879</c:v>
                </c:pt>
                <c:pt idx="19">
                  <c:v>2.1570713324911956</c:v>
                </c:pt>
                <c:pt idx="20">
                  <c:v>3.2180104894382731</c:v>
                </c:pt>
                <c:pt idx="21">
                  <c:v>4.6088546598959859</c:v>
                </c:pt>
                <c:pt idx="22">
                  <c:v>6.7931477984305486</c:v>
                </c:pt>
                <c:pt idx="23">
                  <c:v>7.773293896848644</c:v>
                </c:pt>
                <c:pt idx="24">
                  <c:v>9.7762499557863176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404000"/>
        <c:axId val="194404392"/>
      </c:lineChart>
      <c:catAx>
        <c:axId val="194404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4392"/>
        <c:crosses val="autoZero"/>
        <c:auto val="1"/>
        <c:lblAlgn val="ctr"/>
        <c:lblOffset val="100"/>
        <c:noMultiLvlLbl val="0"/>
      </c:catAx>
      <c:valAx>
        <c:axId val="19440439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40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08'!$D$96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08'!$D$97:$D$121</c:f>
              <c:numCache>
                <c:formatCode>"$"\ #,##0.000</c:formatCode>
                <c:ptCount val="25"/>
                <c:pt idx="0">
                  <c:v>1.5575076886680863E-2</c:v>
                </c:pt>
                <c:pt idx="1">
                  <c:v>6.6008186623836326E-2</c:v>
                </c:pt>
                <c:pt idx="2">
                  <c:v>0.11098931428505272</c:v>
                </c:pt>
                <c:pt idx="3">
                  <c:v>0.20175801803371191</c:v>
                </c:pt>
                <c:pt idx="4">
                  <c:v>0.17132619614261368</c:v>
                </c:pt>
                <c:pt idx="5">
                  <c:v>0.34882269735618932</c:v>
                </c:pt>
                <c:pt idx="6">
                  <c:v>0.3150287080810798</c:v>
                </c:pt>
                <c:pt idx="7">
                  <c:v>0.27165771179450926</c:v>
                </c:pt>
                <c:pt idx="8">
                  <c:v>9.703169065483315E-2</c:v>
                </c:pt>
                <c:pt idx="9">
                  <c:v>0.12538706540858108</c:v>
                </c:pt>
                <c:pt idx="10">
                  <c:v>0.12287246340065908</c:v>
                </c:pt>
                <c:pt idx="11">
                  <c:v>0.11330844923844256</c:v>
                </c:pt>
                <c:pt idx="12">
                  <c:v>0.13725163197012918</c:v>
                </c:pt>
                <c:pt idx="13">
                  <c:v>0.21726513914028905</c:v>
                </c:pt>
                <c:pt idx="14">
                  <c:v>0.30716484359040902</c:v>
                </c:pt>
                <c:pt idx="15">
                  <c:v>0.44850782342747114</c:v>
                </c:pt>
                <c:pt idx="16">
                  <c:v>0.55381655287431775</c:v>
                </c:pt>
                <c:pt idx="17">
                  <c:v>0.83870228387458989</c:v>
                </c:pt>
                <c:pt idx="18">
                  <c:v>0.36485972794852178</c:v>
                </c:pt>
                <c:pt idx="19">
                  <c:v>0.31532823989335707</c:v>
                </c:pt>
                <c:pt idx="20">
                  <c:v>0.4733868806384281</c:v>
                </c:pt>
                <c:pt idx="21">
                  <c:v>0.68238723058589301</c:v>
                </c:pt>
                <c:pt idx="22">
                  <c:v>1.0086138017929751</c:v>
                </c:pt>
                <c:pt idx="23">
                  <c:v>1.1611975743764</c:v>
                </c:pt>
                <c:pt idx="24">
                  <c:v>1.4630003837360863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08'!$D$126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08'!$D$127:$D$151</c:f>
              <c:numCache>
                <c:formatCode>"$"\ #,##0.0000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2.9020070929375488E-6</c:v>
                </c:pt>
                <c:pt idx="3">
                  <c:v>5.2431067064049592E-5</c:v>
                </c:pt>
                <c:pt idx="4">
                  <c:v>0</c:v>
                </c:pt>
                <c:pt idx="5">
                  <c:v>5.5348975569850888E-5</c:v>
                </c:pt>
                <c:pt idx="6">
                  <c:v>1.6876268944348846E-5</c:v>
                </c:pt>
                <c:pt idx="7">
                  <c:v>4.6777424295982093E-5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2.4685295317312126E-4</c:v>
                </c:pt>
                <c:pt idx="12">
                  <c:v>1.938557819401205E-4</c:v>
                </c:pt>
                <c:pt idx="13">
                  <c:v>3.8412055493370104E-4</c:v>
                </c:pt>
                <c:pt idx="14">
                  <c:v>7.2719707752980371E-4</c:v>
                </c:pt>
                <c:pt idx="15">
                  <c:v>1.3881861848397401E-3</c:v>
                </c:pt>
                <c:pt idx="16">
                  <c:v>1.3399706852453626E-3</c:v>
                </c:pt>
                <c:pt idx="17">
                  <c:v>2.6461875476064796E-3</c:v>
                </c:pt>
                <c:pt idx="18">
                  <c:v>9.7484809642819838E-4</c:v>
                </c:pt>
                <c:pt idx="19">
                  <c:v>2.0092513761978347E-3</c:v>
                </c:pt>
                <c:pt idx="20">
                  <c:v>1.9475003903482706E-3</c:v>
                </c:pt>
                <c:pt idx="21">
                  <c:v>1.0912697218857022E-3</c:v>
                </c:pt>
                <c:pt idx="22">
                  <c:v>2.7701448325042383E-3</c:v>
                </c:pt>
                <c:pt idx="23">
                  <c:v>7.3085414173804574E-4</c:v>
                </c:pt>
                <c:pt idx="24">
                  <c:v>3.15065247268346E-3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08'!$D$155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08'!$D$156:$D$180</c:f>
              <c:numCache>
                <c:formatCode>"$"\ #,##0.0000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0.11099221629214567</c:v>
                </c:pt>
                <c:pt idx="3">
                  <c:v>0.20181044910077597</c:v>
                </c:pt>
                <c:pt idx="4">
                  <c:v>0</c:v>
                </c:pt>
                <c:pt idx="5">
                  <c:v>0.34887804633175917</c:v>
                </c:pt>
                <c:pt idx="6">
                  <c:v>0.31504558435002417</c:v>
                </c:pt>
                <c:pt idx="7">
                  <c:v>0.27170448921880525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0.11355530219161568</c:v>
                </c:pt>
                <c:pt idx="12">
                  <c:v>0.13744548775206927</c:v>
                </c:pt>
                <c:pt idx="13">
                  <c:v>0.21764925969522272</c:v>
                </c:pt>
                <c:pt idx="14">
                  <c:v>0.30789204066793879</c:v>
                </c:pt>
                <c:pt idx="15">
                  <c:v>0.44989600961231085</c:v>
                </c:pt>
                <c:pt idx="16">
                  <c:v>0.55515652355956313</c:v>
                </c:pt>
                <c:pt idx="17">
                  <c:v>0.84134847142219649</c:v>
                </c:pt>
                <c:pt idx="18">
                  <c:v>0.36583457604495001</c:v>
                </c:pt>
                <c:pt idx="19">
                  <c:v>0.31733749126955485</c:v>
                </c:pt>
                <c:pt idx="20">
                  <c:v>0.4753343810287764</c:v>
                </c:pt>
                <c:pt idx="21">
                  <c:v>0.68347850030777868</c:v>
                </c:pt>
                <c:pt idx="22">
                  <c:v>1.0113839466254793</c:v>
                </c:pt>
                <c:pt idx="23">
                  <c:v>1.1619284285181384</c:v>
                </c:pt>
                <c:pt idx="24">
                  <c:v>1.4661510362087695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405568"/>
        <c:axId val="194405960"/>
      </c:lineChart>
      <c:catAx>
        <c:axId val="194405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5960"/>
        <c:crosses val="autoZero"/>
        <c:auto val="1"/>
        <c:lblAlgn val="ctr"/>
        <c:lblOffset val="100"/>
        <c:noMultiLvlLbl val="0"/>
      </c:catAx>
      <c:valAx>
        <c:axId val="19440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08'!$D$5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08'!$B$6:$B$30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08'!$D$6:$D$30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06352"/>
        <c:axId val="1944067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08'!$C$5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08'!$B$6:$B$30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08'!$C$6:$C$30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0.752</c:v>
                      </c:pt>
                      <c:pt idx="3">
                        <c:v>13.845000000000001</c:v>
                      </c:pt>
                      <c:pt idx="4">
                        <c:v>0</c:v>
                      </c:pt>
                      <c:pt idx="5">
                        <c:v>14.885</c:v>
                      </c:pt>
                      <c:pt idx="6">
                        <c:v>4.58</c:v>
                      </c:pt>
                      <c:pt idx="7">
                        <c:v>12.704000000000001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71.614000000000004</c:v>
                      </c:pt>
                      <c:pt idx="12">
                        <c:v>56.762</c:v>
                      </c:pt>
                      <c:pt idx="13">
                        <c:v>113.514</c:v>
                      </c:pt>
                      <c:pt idx="14">
                        <c:v>216.98099999999999</c:v>
                      </c:pt>
                      <c:pt idx="15">
                        <c:v>418.16500000000002</c:v>
                      </c:pt>
                      <c:pt idx="16">
                        <c:v>407.47699999999998</c:v>
                      </c:pt>
                      <c:pt idx="17">
                        <c:v>811.77499999999998</c:v>
                      </c:pt>
                      <c:pt idx="18">
                        <c:v>300.98</c:v>
                      </c:pt>
                      <c:pt idx="19">
                        <c:v>621.55600000000004</c:v>
                      </c:pt>
                      <c:pt idx="20">
                        <c:v>607.07799999999997</c:v>
                      </c:pt>
                      <c:pt idx="21">
                        <c:v>342.78100000000001</c:v>
                      </c:pt>
                      <c:pt idx="22">
                        <c:v>876.74400000000003</c:v>
                      </c:pt>
                      <c:pt idx="23">
                        <c:v>233.03800000000001</c:v>
                      </c:pt>
                      <c:pt idx="24">
                        <c:v>1012.679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08'!$E$5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08'!$B$6:$B$30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08'!$E$6:$E$30</c:f>
              <c:numCache>
                <c:formatCode>0.00000000000%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1.3883816823715036E-13</c:v>
                </c:pt>
                <c:pt idx="3">
                  <c:v>1.675869524509395E-12</c:v>
                </c:pt>
                <c:pt idx="4">
                  <c:v>0</c:v>
                </c:pt>
                <c:pt idx="5">
                  <c:v>1.0832961196675049E-12</c:v>
                </c:pt>
                <c:pt idx="6">
                  <c:v>2.7197080197479305E-13</c:v>
                </c:pt>
                <c:pt idx="7">
                  <c:v>6.8802579490159025E-13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3.7089579927645951E-12</c:v>
                </c:pt>
                <c:pt idx="12">
                  <c:v>2.7853299739132319E-12</c:v>
                </c:pt>
                <c:pt idx="13">
                  <c:v>5.1500003266557634E-12</c:v>
                </c:pt>
                <c:pt idx="14">
                  <c:v>8.5082683887132211E-12</c:v>
                </c:pt>
                <c:pt idx="15">
                  <c:v>1.4437925465895127E-11</c:v>
                </c:pt>
                <c:pt idx="16">
                  <c:v>1.2900290103535499E-11</c:v>
                </c:pt>
                <c:pt idx="17">
                  <c:v>2.2739143930300551E-11</c:v>
                </c:pt>
                <c:pt idx="18">
                  <c:v>7.2706851087972112E-12</c:v>
                </c:pt>
                <c:pt idx="19">
                  <c:v>1.3037928121529476E-11</c:v>
                </c:pt>
                <c:pt idx="20">
                  <c:v>1.349346214622193E-11</c:v>
                </c:pt>
                <c:pt idx="21">
                  <c:v>6.9289542502566113E-12</c:v>
                </c:pt>
                <c:pt idx="22">
                  <c:v>1.497565088544238E-11</c:v>
                </c:pt>
                <c:pt idx="23">
                  <c:v>3.8372200531376553E-12</c:v>
                </c:pt>
                <c:pt idx="24">
                  <c:v>1.5692389320028329E-11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07528"/>
        <c:axId val="194407136"/>
      </c:lineChart>
      <c:catAx>
        <c:axId val="19440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6744"/>
        <c:crosses val="autoZero"/>
        <c:auto val="1"/>
        <c:lblAlgn val="ctr"/>
        <c:lblOffset val="100"/>
        <c:noMultiLvlLbl val="0"/>
      </c:catAx>
      <c:valAx>
        <c:axId val="19440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6352"/>
        <c:crosses val="autoZero"/>
        <c:crossBetween val="between"/>
      </c:valAx>
      <c:valAx>
        <c:axId val="194407136"/>
        <c:scaling>
          <c:orientation val="minMax"/>
          <c:max val="3.0000000000000019E-11"/>
        </c:scaling>
        <c:delete val="0"/>
        <c:axPos val="r"/>
        <c:numFmt formatCode="0.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7528"/>
        <c:crosses val="max"/>
        <c:crossBetween val="between"/>
        <c:majorUnit val="6.0000000000000035E-12"/>
      </c:valAx>
      <c:catAx>
        <c:axId val="194407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0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08'!$D$36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08'!$B$37:$B$61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08'!$D$37:$D$61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08312"/>
        <c:axId val="194408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08'!$C$36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08'!$B$37:$B$61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08'!$C$37:$C$61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3.950151</c:v>
                      </c:pt>
                      <c:pt idx="1">
                        <c:v>16.932155999999999</c:v>
                      </c:pt>
                      <c:pt idx="2">
                        <c:v>28.760771999999999</c:v>
                      </c:pt>
                      <c:pt idx="3">
                        <c:v>53.276423999999999</c:v>
                      </c:pt>
                      <c:pt idx="4">
                        <c:v>45.640956000000003</c:v>
                      </c:pt>
                      <c:pt idx="5">
                        <c:v>93.808887999999996</c:v>
                      </c:pt>
                      <c:pt idx="6">
                        <c:v>85.494696000000005</c:v>
                      </c:pt>
                      <c:pt idx="7">
                        <c:v>73.777888000000004</c:v>
                      </c:pt>
                      <c:pt idx="8">
                        <c:v>26.589012</c:v>
                      </c:pt>
                      <c:pt idx="9">
                        <c:v>35.731420999999997</c:v>
                      </c:pt>
                      <c:pt idx="10">
                        <c:v>35.341216000000003</c:v>
                      </c:pt>
                      <c:pt idx="11">
                        <c:v>32.871679999999998</c:v>
                      </c:pt>
                      <c:pt idx="12">
                        <c:v>40.188004999999997</c:v>
                      </c:pt>
                      <c:pt idx="13">
                        <c:v>64.205455000000001</c:v>
                      </c:pt>
                      <c:pt idx="14">
                        <c:v>91.651819000000003</c:v>
                      </c:pt>
                      <c:pt idx="15">
                        <c:v>135.10455300000001</c:v>
                      </c:pt>
                      <c:pt idx="16">
                        <c:v>168.412272</c:v>
                      </c:pt>
                      <c:pt idx="17">
                        <c:v>257.28998200000001</c:v>
                      </c:pt>
                      <c:pt idx="18">
                        <c:v>112.648813</c:v>
                      </c:pt>
                      <c:pt idx="19">
                        <c:v>97.545862999999997</c:v>
                      </c:pt>
                      <c:pt idx="20">
                        <c:v>147.564931</c:v>
                      </c:pt>
                      <c:pt idx="21">
                        <c:v>214.34607099999999</c:v>
                      </c:pt>
                      <c:pt idx="22">
                        <c:v>319.22377799999998</c:v>
                      </c:pt>
                      <c:pt idx="23">
                        <c:v>370.25603999999998</c:v>
                      </c:pt>
                      <c:pt idx="24">
                        <c:v>470.23585700000001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08'!$E$36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08'!$B$37:$B$61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08'!$E$37:$E$61</c:f>
              <c:numCache>
                <c:formatCode>0.000000000%</c:formatCode>
                <c:ptCount val="25"/>
                <c:pt idx="0">
                  <c:v>1.2789189759714881E-10</c:v>
                </c:pt>
                <c:pt idx="1">
                  <c:v>4.6075423456234466E-10</c:v>
                </c:pt>
                <c:pt idx="2">
                  <c:v>5.3099639648488349E-10</c:v>
                </c:pt>
                <c:pt idx="3">
                  <c:v>6.4488505132857284E-10</c:v>
                </c:pt>
                <c:pt idx="4">
                  <c:v>4.6821667349895798E-10</c:v>
                </c:pt>
                <c:pt idx="5">
                  <c:v>6.8271954558766244E-10</c:v>
                </c:pt>
                <c:pt idx="6">
                  <c:v>5.0768692217709901E-10</c:v>
                </c:pt>
                <c:pt idx="7">
                  <c:v>3.9956777422355556E-10</c:v>
                </c:pt>
                <c:pt idx="8">
                  <c:v>1.456954198321027E-10</c:v>
                </c:pt>
                <c:pt idx="9">
                  <c:v>2.0554436314269606E-10</c:v>
                </c:pt>
                <c:pt idx="10">
                  <c:v>2.0841354334767039E-10</c:v>
                </c:pt>
                <c:pt idx="11">
                  <c:v>1.7024559481609754E-10</c:v>
                </c:pt>
                <c:pt idx="12">
                  <c:v>1.9720385983276634E-10</c:v>
                </c:pt>
                <c:pt idx="13">
                  <c:v>2.9129280460831433E-10</c:v>
                </c:pt>
                <c:pt idx="14">
                  <c:v>3.5938551042062009E-10</c:v>
                </c:pt>
                <c:pt idx="15">
                  <c:v>4.6647363273279162E-10</c:v>
                </c:pt>
                <c:pt idx="16">
                  <c:v>5.3317541009566896E-10</c:v>
                </c:pt>
                <c:pt idx="17">
                  <c:v>7.2071127252285905E-10</c:v>
                </c:pt>
                <c:pt idx="18">
                  <c:v>2.7212241584250836E-10</c:v>
                </c:pt>
                <c:pt idx="19">
                  <c:v>2.0461486178985666E-10</c:v>
                </c:pt>
                <c:pt idx="20">
                  <c:v>3.2799110008241962E-10</c:v>
                </c:pt>
                <c:pt idx="21">
                  <c:v>4.3327784202778315E-10</c:v>
                </c:pt>
                <c:pt idx="22">
                  <c:v>5.4526564808655224E-10</c:v>
                </c:pt>
                <c:pt idx="23">
                  <c:v>6.0966619241640324E-10</c:v>
                </c:pt>
                <c:pt idx="24">
                  <c:v>7.2867356193632628E-10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09488"/>
        <c:axId val="194409096"/>
      </c:lineChart>
      <c:catAx>
        <c:axId val="194408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8704"/>
        <c:crosses val="autoZero"/>
        <c:auto val="1"/>
        <c:lblAlgn val="ctr"/>
        <c:lblOffset val="100"/>
        <c:noMultiLvlLbl val="0"/>
      </c:catAx>
      <c:valAx>
        <c:axId val="19440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8312"/>
        <c:crosses val="autoZero"/>
        <c:crossBetween val="between"/>
      </c:valAx>
      <c:valAx>
        <c:axId val="194409096"/>
        <c:scaling>
          <c:orientation val="minMax"/>
          <c:max val="8.0000000000000044E-10"/>
          <c:min val="0"/>
        </c:scaling>
        <c:delete val="0"/>
        <c:axPos val="r"/>
        <c:numFmt formatCode="0.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09488"/>
        <c:crosses val="max"/>
        <c:crossBetween val="between"/>
        <c:majorUnit val="1.6000000000000009E-10"/>
      </c:valAx>
      <c:catAx>
        <c:axId val="194409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09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08'!$D$67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08'!$B$68:$B$92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08'!$D$68:$D$92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10272"/>
        <c:axId val="1944106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08'!$C$67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08'!$B$68:$B$92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08'!$C$68:$C$92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0</c:v>
                      </c:pt>
                      <c:pt idx="1">
                        <c:v>0</c:v>
                      </c:pt>
                      <c:pt idx="2">
                        <c:v>28.761523999999998</c:v>
                      </c:pt>
                      <c:pt idx="3">
                        <c:v>53.290269000000002</c:v>
                      </c:pt>
                      <c:pt idx="4">
                        <c:v>0</c:v>
                      </c:pt>
                      <c:pt idx="5">
                        <c:v>93.823773000000003</c:v>
                      </c:pt>
                      <c:pt idx="6">
                        <c:v>85.499276000000009</c:v>
                      </c:pt>
                      <c:pt idx="7">
                        <c:v>73.790592000000004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32.943293999999995</c:v>
                      </c:pt>
                      <c:pt idx="12">
                        <c:v>40.244766999999996</c:v>
                      </c:pt>
                      <c:pt idx="13">
                        <c:v>64.318968999999996</c:v>
                      </c:pt>
                      <c:pt idx="14">
                        <c:v>91.868800000000007</c:v>
                      </c:pt>
                      <c:pt idx="15">
                        <c:v>135.522718</c:v>
                      </c:pt>
                      <c:pt idx="16">
                        <c:v>168.819749</c:v>
                      </c:pt>
                      <c:pt idx="17">
                        <c:v>258.10175700000002</c:v>
                      </c:pt>
                      <c:pt idx="18">
                        <c:v>112.949793</c:v>
                      </c:pt>
                      <c:pt idx="19">
                        <c:v>98.167418999999995</c:v>
                      </c:pt>
                      <c:pt idx="20">
                        <c:v>148.172009</c:v>
                      </c:pt>
                      <c:pt idx="21">
                        <c:v>214.688852</c:v>
                      </c:pt>
                      <c:pt idx="22">
                        <c:v>320.10052199999996</c:v>
                      </c:pt>
                      <c:pt idx="23">
                        <c:v>370.48907800000001</c:v>
                      </c:pt>
                      <c:pt idx="24">
                        <c:v>471.248536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08'!$E$67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08'!$B$68:$B$92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08'!$E$68:$E$92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2.6550514015085358E-9</c:v>
                </c:pt>
                <c:pt idx="3">
                  <c:v>3.2252631914051193E-9</c:v>
                </c:pt>
                <c:pt idx="4">
                  <c:v>0</c:v>
                </c:pt>
                <c:pt idx="5">
                  <c:v>3.4141393759981466E-9</c:v>
                </c:pt>
                <c:pt idx="6">
                  <c:v>2.5385705962864823E-9</c:v>
                </c:pt>
                <c:pt idx="7">
                  <c:v>1.9981828840152284E-9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8.530824530768699E-10</c:v>
                </c:pt>
                <c:pt idx="12">
                  <c:v>9.8741196415078844E-10</c:v>
                </c:pt>
                <c:pt idx="13">
                  <c:v>1.4590390232048994E-9</c:v>
                </c:pt>
                <c:pt idx="14">
                  <c:v>1.8011816862974571E-9</c:v>
                </c:pt>
                <c:pt idx="15">
                  <c:v>2.3395871263969055E-9</c:v>
                </c:pt>
                <c:pt idx="16">
                  <c:v>2.6723271955301124E-9</c:v>
                </c:pt>
                <c:pt idx="17">
                  <c:v>3.6149259345794455E-9</c:v>
                </c:pt>
                <c:pt idx="18">
                  <c:v>1.3642474217669403E-9</c:v>
                </c:pt>
                <c:pt idx="19">
                  <c:v>1.0295932730100481E-9</c:v>
                </c:pt>
                <c:pt idx="20">
                  <c:v>1.6467022314852089E-9</c:v>
                </c:pt>
                <c:pt idx="21">
                  <c:v>2.1698536872640439E-9</c:v>
                </c:pt>
                <c:pt idx="22">
                  <c:v>2.7338160658754823E-9</c:v>
                </c:pt>
                <c:pt idx="23">
                  <c:v>3.050249572108585E-9</c:v>
                </c:pt>
                <c:pt idx="24">
                  <c:v>3.6512140043416459E-9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11448"/>
        <c:axId val="194411056"/>
      </c:lineChart>
      <c:catAx>
        <c:axId val="1944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0664"/>
        <c:crosses val="autoZero"/>
        <c:auto val="1"/>
        <c:lblAlgn val="ctr"/>
        <c:lblOffset val="100"/>
        <c:noMultiLvlLbl val="0"/>
      </c:catAx>
      <c:valAx>
        <c:axId val="19441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0272"/>
        <c:crosses val="autoZero"/>
        <c:crossBetween val="between"/>
      </c:valAx>
      <c:valAx>
        <c:axId val="194411056"/>
        <c:scaling>
          <c:orientation val="minMax"/>
          <c:max val="5.0000000000000026E-9"/>
        </c:scaling>
        <c:delete val="0"/>
        <c:axPos val="r"/>
        <c:numFmt formatCode="0.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1448"/>
        <c:crosses val="max"/>
        <c:crossBetween val="between"/>
        <c:majorUnit val="1.0000000000000005E-9"/>
      </c:valAx>
      <c:catAx>
        <c:axId val="194411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1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09'!$B$1</c:f>
              <c:strCache>
                <c:ptCount val="1"/>
                <c:pt idx="0">
                  <c:v>Exportaciones  de Colombia a USA (US$ millones)</c:v>
                </c:pt>
              </c:strCache>
            </c:strRef>
          </c:tx>
          <c:invertIfNegative val="0"/>
          <c:cat>
            <c:numRef>
              <c:f>'Export 09'!$A$2:$A$26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09'!$B$2:$B$26</c:f>
              <c:numCache>
                <c:formatCode>0.00</c:formatCode>
                <c:ptCount val="25"/>
                <c:pt idx="0">
                  <c:v>1.0422279999999999</c:v>
                </c:pt>
                <c:pt idx="1">
                  <c:v>1.5849740000000001</c:v>
                </c:pt>
                <c:pt idx="2">
                  <c:v>1.24962</c:v>
                </c:pt>
                <c:pt idx="3">
                  <c:v>2.041169</c:v>
                </c:pt>
                <c:pt idx="4">
                  <c:v>1.4371849999999999</c:v>
                </c:pt>
                <c:pt idx="5">
                  <c:v>1.515906</c:v>
                </c:pt>
                <c:pt idx="6">
                  <c:v>1.349143</c:v>
                </c:pt>
                <c:pt idx="7">
                  <c:v>1.042678</c:v>
                </c:pt>
                <c:pt idx="8">
                  <c:v>1.478</c:v>
                </c:pt>
                <c:pt idx="9">
                  <c:v>1.979636</c:v>
                </c:pt>
                <c:pt idx="10">
                  <c:v>4.2792539999999999</c:v>
                </c:pt>
                <c:pt idx="11">
                  <c:v>3.681295</c:v>
                </c:pt>
                <c:pt idx="12">
                  <c:v>5.1394549999999999</c:v>
                </c:pt>
                <c:pt idx="13">
                  <c:v>8.7669619999999995</c:v>
                </c:pt>
                <c:pt idx="14">
                  <c:v>19.191551</c:v>
                </c:pt>
                <c:pt idx="15">
                  <c:v>15.957020999999999</c:v>
                </c:pt>
                <c:pt idx="16">
                  <c:v>17.968544000000001</c:v>
                </c:pt>
                <c:pt idx="17">
                  <c:v>19.799885</c:v>
                </c:pt>
                <c:pt idx="18">
                  <c:v>18.206178000000001</c:v>
                </c:pt>
                <c:pt idx="19">
                  <c:v>23.231349999999999</c:v>
                </c:pt>
                <c:pt idx="20">
                  <c:v>22.369783999999999</c:v>
                </c:pt>
                <c:pt idx="21">
                  <c:v>27.756962999999999</c:v>
                </c:pt>
                <c:pt idx="22">
                  <c:v>21.177413000000001</c:v>
                </c:pt>
                <c:pt idx="23">
                  <c:v>17.432943000000002</c:v>
                </c:pt>
                <c:pt idx="24">
                  <c:v>16.877009000000001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412624"/>
        <c:axId val="194413016"/>
      </c:barChart>
      <c:catAx>
        <c:axId val="19441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4413016"/>
        <c:crosses val="autoZero"/>
        <c:auto val="1"/>
        <c:lblAlgn val="ctr"/>
        <c:lblOffset val="100"/>
        <c:noMultiLvlLbl val="0"/>
      </c:catAx>
      <c:valAx>
        <c:axId val="194413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 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94412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09'!$A$2:$A$26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09'!$B$2:$B$26</c:f>
              <c:numCache>
                <c:formatCode>0.00</c:formatCode>
                <c:ptCount val="25"/>
                <c:pt idx="0">
                  <c:v>3.331747</c:v>
                </c:pt>
                <c:pt idx="1">
                  <c:v>3.9960550000000001</c:v>
                </c:pt>
                <c:pt idx="2">
                  <c:v>8.5819220000000005</c:v>
                </c:pt>
                <c:pt idx="3">
                  <c:v>9.8553080000000008</c:v>
                </c:pt>
                <c:pt idx="4">
                  <c:v>13.397544</c:v>
                </c:pt>
                <c:pt idx="5">
                  <c:v>14.597754999999999</c:v>
                </c:pt>
                <c:pt idx="6">
                  <c:v>17.202976</c:v>
                </c:pt>
                <c:pt idx="7">
                  <c:v>18.203968</c:v>
                </c:pt>
                <c:pt idx="8">
                  <c:v>21.820636</c:v>
                </c:pt>
                <c:pt idx="9">
                  <c:v>13.706878</c:v>
                </c:pt>
                <c:pt idx="10">
                  <c:v>14.49283</c:v>
                </c:pt>
                <c:pt idx="11">
                  <c:v>17.436653</c:v>
                </c:pt>
                <c:pt idx="12">
                  <c:v>16.116531999999999</c:v>
                </c:pt>
                <c:pt idx="13">
                  <c:v>19.024771000000001</c:v>
                </c:pt>
                <c:pt idx="14">
                  <c:v>20.507144</c:v>
                </c:pt>
                <c:pt idx="15">
                  <c:v>32.155056999999999</c:v>
                </c:pt>
                <c:pt idx="16">
                  <c:v>37.265571999999999</c:v>
                </c:pt>
                <c:pt idx="17">
                  <c:v>42.939801000000003</c:v>
                </c:pt>
                <c:pt idx="18">
                  <c:v>48.350667999999999</c:v>
                </c:pt>
                <c:pt idx="19">
                  <c:v>49.965361000000001</c:v>
                </c:pt>
                <c:pt idx="20">
                  <c:v>74.036721999999997</c:v>
                </c:pt>
                <c:pt idx="21">
                  <c:v>108.397113</c:v>
                </c:pt>
                <c:pt idx="22">
                  <c:v>101.897245</c:v>
                </c:pt>
                <c:pt idx="23">
                  <c:v>120.79994499999999</c:v>
                </c:pt>
                <c:pt idx="24">
                  <c:v>116.24860099999999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413800"/>
        <c:axId val="194414192"/>
      </c:lineChart>
      <c:catAx>
        <c:axId val="194413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4414192"/>
        <c:crosses val="autoZero"/>
        <c:auto val="1"/>
        <c:lblAlgn val="ctr"/>
        <c:lblOffset val="100"/>
        <c:noMultiLvlLbl val="0"/>
      </c:catAx>
      <c:valAx>
        <c:axId val="194414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94413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09'!$C$6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09'!$A$7:$A$31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14976"/>
        <c:axId val="194415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09'!$B$6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09'!$A$7:$A$31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09'!$B$7:$B$31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1.0422279999999999</c:v>
                      </c:pt>
                      <c:pt idx="1">
                        <c:v>1.5849740000000001</c:v>
                      </c:pt>
                      <c:pt idx="2">
                        <c:v>1.24962</c:v>
                      </c:pt>
                      <c:pt idx="3">
                        <c:v>2.041169</c:v>
                      </c:pt>
                      <c:pt idx="4">
                        <c:v>1.4371849999999999</c:v>
                      </c:pt>
                      <c:pt idx="5">
                        <c:v>1.515906</c:v>
                      </c:pt>
                      <c:pt idx="6">
                        <c:v>1.349143</c:v>
                      </c:pt>
                      <c:pt idx="7">
                        <c:v>1.042678</c:v>
                      </c:pt>
                      <c:pt idx="8">
                        <c:v>1.478</c:v>
                      </c:pt>
                      <c:pt idx="9">
                        <c:v>1.979636</c:v>
                      </c:pt>
                      <c:pt idx="10">
                        <c:v>4.2792539999999999</c:v>
                      </c:pt>
                      <c:pt idx="11">
                        <c:v>3.681295</c:v>
                      </c:pt>
                      <c:pt idx="12">
                        <c:v>5.1394549999999999</c:v>
                      </c:pt>
                      <c:pt idx="13">
                        <c:v>8.7669619999999995</c:v>
                      </c:pt>
                      <c:pt idx="14">
                        <c:v>19.191551</c:v>
                      </c:pt>
                      <c:pt idx="15">
                        <c:v>15.957020999999999</c:v>
                      </c:pt>
                      <c:pt idx="16">
                        <c:v>17.968544000000001</c:v>
                      </c:pt>
                      <c:pt idx="17">
                        <c:v>19.799885</c:v>
                      </c:pt>
                      <c:pt idx="18">
                        <c:v>18.206178000000001</c:v>
                      </c:pt>
                      <c:pt idx="19">
                        <c:v>23.231349999999999</c:v>
                      </c:pt>
                      <c:pt idx="20">
                        <c:v>22.369783999999999</c:v>
                      </c:pt>
                      <c:pt idx="21">
                        <c:v>27.756962999999999</c:v>
                      </c:pt>
                      <c:pt idx="22">
                        <c:v>21.177413000000001</c:v>
                      </c:pt>
                      <c:pt idx="23">
                        <c:v>17.432943000000002</c:v>
                      </c:pt>
                      <c:pt idx="24">
                        <c:v>16.877009000000001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09'!$D$6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09'!$A$7:$A$31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09'!$D$7:$D$31</c:f>
              <c:numCache>
                <c:formatCode>"$"\ #,##0.000000</c:formatCode>
                <c:ptCount val="25"/>
                <c:pt idx="0">
                  <c:v>2.5272534864424423E-5</c:v>
                </c:pt>
                <c:pt idx="1">
                  <c:v>3.216289237377147E-5</c:v>
                </c:pt>
                <c:pt idx="2">
                  <c:v>2.239360426494393E-5</c:v>
                </c:pt>
                <c:pt idx="3">
                  <c:v>2.4982639481065187E-5</c:v>
                </c:pt>
                <c:pt idx="4">
                  <c:v>1.5535912786615237E-5</c:v>
                </c:pt>
                <c:pt idx="5">
                  <c:v>1.5602143466619899E-5</c:v>
                </c:pt>
                <c:pt idx="6">
                  <c:v>1.2649064539668938E-5</c:v>
                </c:pt>
                <c:pt idx="7">
                  <c:v>1.0591612693745301E-5</c:v>
                </c:pt>
                <c:pt idx="8">
                  <c:v>1.7148925750656315E-5</c:v>
                </c:pt>
                <c:pt idx="9">
                  <c:v>1.9818839007701485E-5</c:v>
                </c:pt>
                <c:pt idx="10">
                  <c:v>4.3575351597678762E-5</c:v>
                </c:pt>
                <c:pt idx="11">
                  <c:v>3.7589783335617043E-5</c:v>
                </c:pt>
                <c:pt idx="12">
                  <c:v>5.4279745026286486E-5</c:v>
                </c:pt>
                <c:pt idx="13">
                  <c:v>7.4883383050786654E-5</c:v>
                </c:pt>
                <c:pt idx="14">
                  <c:v>1.3094111955703092E-4</c:v>
                </c:pt>
                <c:pt idx="15">
                  <c:v>9.8142608166042533E-5</c:v>
                </c:pt>
                <c:pt idx="16">
                  <c:v>8.6630255857813074E-5</c:v>
                </c:pt>
                <c:pt idx="17">
                  <c:v>8.115291072909805E-5</c:v>
                </c:pt>
                <c:pt idx="18">
                  <c:v>7.7863518627773875E-5</c:v>
                </c:pt>
                <c:pt idx="19">
                  <c:v>8.0940341913661345E-5</c:v>
                </c:pt>
                <c:pt idx="20">
                  <c:v>6.6692823961625699E-5</c:v>
                </c:pt>
                <c:pt idx="21">
                  <c:v>7.5087879397735304E-5</c:v>
                </c:pt>
                <c:pt idx="22">
                  <c:v>5.5701907406264766E-5</c:v>
                </c:pt>
                <c:pt idx="23">
                  <c:v>4.6068194933747062E-5</c:v>
                </c:pt>
                <c:pt idx="24">
                  <c:v>5.7782114513757414E-5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16152"/>
        <c:axId val="194415760"/>
      </c:lineChart>
      <c:catAx>
        <c:axId val="194414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5368"/>
        <c:crosses val="autoZero"/>
        <c:auto val="1"/>
        <c:lblAlgn val="ctr"/>
        <c:lblOffset val="100"/>
        <c:noMultiLvlLbl val="0"/>
      </c:catAx>
      <c:valAx>
        <c:axId val="19441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Milones de 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4976"/>
        <c:crosses val="autoZero"/>
        <c:crossBetween val="between"/>
      </c:valAx>
      <c:valAx>
        <c:axId val="1944157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6152"/>
        <c:crosses val="max"/>
        <c:crossBetween val="between"/>
      </c:valAx>
      <c:catAx>
        <c:axId val="194416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15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09'!$C$65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09'!$A$66:$A$90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16936"/>
        <c:axId val="194417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09'!$B$65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millones)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09'!$A$66:$A$90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09'!$B$66:$B$90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3.331747</c:v>
                      </c:pt>
                      <c:pt idx="1">
                        <c:v>3.9960550000000001</c:v>
                      </c:pt>
                      <c:pt idx="2">
                        <c:v>8.5819220000000005</c:v>
                      </c:pt>
                      <c:pt idx="3">
                        <c:v>9.8553080000000008</c:v>
                      </c:pt>
                      <c:pt idx="4">
                        <c:v>13.397544</c:v>
                      </c:pt>
                      <c:pt idx="5">
                        <c:v>14.597754999999999</c:v>
                      </c:pt>
                      <c:pt idx="6">
                        <c:v>17.202976</c:v>
                      </c:pt>
                      <c:pt idx="7">
                        <c:v>18.203968</c:v>
                      </c:pt>
                      <c:pt idx="8">
                        <c:v>21.820636</c:v>
                      </c:pt>
                      <c:pt idx="9">
                        <c:v>13.706878</c:v>
                      </c:pt>
                      <c:pt idx="10">
                        <c:v>14.49283</c:v>
                      </c:pt>
                      <c:pt idx="11">
                        <c:v>17.436653</c:v>
                      </c:pt>
                      <c:pt idx="12">
                        <c:v>16.116531999999999</c:v>
                      </c:pt>
                      <c:pt idx="13">
                        <c:v>19.024771000000001</c:v>
                      </c:pt>
                      <c:pt idx="14">
                        <c:v>20.507144</c:v>
                      </c:pt>
                      <c:pt idx="15">
                        <c:v>32.155056999999999</c:v>
                      </c:pt>
                      <c:pt idx="16">
                        <c:v>37.265571999999999</c:v>
                      </c:pt>
                      <c:pt idx="17">
                        <c:v>42.939801000000003</c:v>
                      </c:pt>
                      <c:pt idx="18">
                        <c:v>48.350667999999999</c:v>
                      </c:pt>
                      <c:pt idx="19">
                        <c:v>49.965361000000001</c:v>
                      </c:pt>
                      <c:pt idx="20">
                        <c:v>74.036721999999997</c:v>
                      </c:pt>
                      <c:pt idx="21">
                        <c:v>108.397113</c:v>
                      </c:pt>
                      <c:pt idx="22">
                        <c:v>101.897245</c:v>
                      </c:pt>
                      <c:pt idx="23">
                        <c:v>120.79994499999999</c:v>
                      </c:pt>
                      <c:pt idx="24">
                        <c:v>116.24860099999999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09'!$D$65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09'!$A$66:$A$90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09'!$D$66:$D$90</c:f>
              <c:numCache>
                <c:formatCode>0.000000%</c:formatCode>
                <c:ptCount val="25"/>
                <c:pt idx="0">
                  <c:v>5.3963780297610501E-8</c:v>
                </c:pt>
                <c:pt idx="1">
                  <c:v>6.1108308398193748E-8</c:v>
                </c:pt>
                <c:pt idx="2">
                  <c:v>1.247604858928655E-7</c:v>
                </c:pt>
                <c:pt idx="3">
                  <c:v>1.3484250053531691E-7</c:v>
                </c:pt>
                <c:pt idx="4">
                  <c:v>1.7481000931621097E-7</c:v>
                </c:pt>
                <c:pt idx="5">
                  <c:v>1.802147255358231E-7</c:v>
                </c:pt>
                <c:pt idx="6">
                  <c:v>1.998367430387239E-7</c:v>
                </c:pt>
                <c:pt idx="7">
                  <c:v>2.00282006009791E-7</c:v>
                </c:pt>
                <c:pt idx="8">
                  <c:v>2.2587191055153374E-7</c:v>
                </c:pt>
                <c:pt idx="9">
                  <c:v>1.3327343251614835E-7</c:v>
                </c:pt>
                <c:pt idx="10">
                  <c:v>1.3644389136931661E-7</c:v>
                </c:pt>
                <c:pt idx="11">
                  <c:v>1.5883972454965669E-7</c:v>
                </c:pt>
                <c:pt idx="12">
                  <c:v>1.4001384802101007E-7</c:v>
                </c:pt>
                <c:pt idx="13">
                  <c:v>1.5498886021979113E-7</c:v>
                </c:pt>
                <c:pt idx="14">
                  <c:v>1.5661809327612324E-7</c:v>
                </c:pt>
                <c:pt idx="15">
                  <c:v>2.3206781838883221E-7</c:v>
                </c:pt>
                <c:pt idx="16">
                  <c:v>2.5740096362423836E-7</c:v>
                </c:pt>
                <c:pt idx="17">
                  <c:v>2.917387082532815E-7</c:v>
                </c:pt>
                <c:pt idx="18">
                  <c:v>3.353321535260469E-7</c:v>
                </c:pt>
                <c:pt idx="19">
                  <c:v>3.338954751993602E-7</c:v>
                </c:pt>
                <c:pt idx="20">
                  <c:v>4.7710449192759398E-7</c:v>
                </c:pt>
                <c:pt idx="21">
                  <c:v>6.709712288663968E-7</c:v>
                </c:pt>
                <c:pt idx="22">
                  <c:v>6.115121321526049E-7</c:v>
                </c:pt>
                <c:pt idx="23">
                  <c:v>6.9633068436454163E-7</c:v>
                </c:pt>
                <c:pt idx="24">
                  <c:v>6.4773291864554937E-7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18112"/>
        <c:axId val="194417720"/>
      </c:lineChart>
      <c:catAx>
        <c:axId val="194416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7328"/>
        <c:crosses val="autoZero"/>
        <c:auto val="1"/>
        <c:lblAlgn val="ctr"/>
        <c:lblOffset val="100"/>
        <c:noMultiLvlLbl val="0"/>
      </c:catAx>
      <c:valAx>
        <c:axId val="194417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6936"/>
        <c:crosses val="autoZero"/>
        <c:crossBetween val="between"/>
      </c:valAx>
      <c:valAx>
        <c:axId val="1944177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8112"/>
        <c:crosses val="max"/>
        <c:crossBetween val="between"/>
      </c:valAx>
      <c:catAx>
        <c:axId val="194418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17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09'!$C$35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09'!$A$36:$A$60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18896"/>
        <c:axId val="1944192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09'!$B$35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09'!$A$36:$A$60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09'!$B$36:$B$60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3.331747</c:v>
                      </c:pt>
                      <c:pt idx="1">
                        <c:v>3.9960550000000001</c:v>
                      </c:pt>
                      <c:pt idx="2">
                        <c:v>8.5819220000000005</c:v>
                      </c:pt>
                      <c:pt idx="3">
                        <c:v>9.8553080000000008</c:v>
                      </c:pt>
                      <c:pt idx="4">
                        <c:v>13.397544</c:v>
                      </c:pt>
                      <c:pt idx="5">
                        <c:v>14.597754999999999</c:v>
                      </c:pt>
                      <c:pt idx="6">
                        <c:v>17.202976</c:v>
                      </c:pt>
                      <c:pt idx="7">
                        <c:v>18.203968</c:v>
                      </c:pt>
                      <c:pt idx="8">
                        <c:v>21.820636</c:v>
                      </c:pt>
                      <c:pt idx="9">
                        <c:v>13.706878</c:v>
                      </c:pt>
                      <c:pt idx="10">
                        <c:v>14.49283</c:v>
                      </c:pt>
                      <c:pt idx="11">
                        <c:v>17.436653</c:v>
                      </c:pt>
                      <c:pt idx="12">
                        <c:v>16.116531999999999</c:v>
                      </c:pt>
                      <c:pt idx="13">
                        <c:v>19.024771000000001</c:v>
                      </c:pt>
                      <c:pt idx="14">
                        <c:v>20.507144</c:v>
                      </c:pt>
                      <c:pt idx="15">
                        <c:v>32.155056999999999</c:v>
                      </c:pt>
                      <c:pt idx="16">
                        <c:v>37.265571999999999</c:v>
                      </c:pt>
                      <c:pt idx="17">
                        <c:v>42.939801000000003</c:v>
                      </c:pt>
                      <c:pt idx="18">
                        <c:v>48.350667999999999</c:v>
                      </c:pt>
                      <c:pt idx="19">
                        <c:v>49.965361000000001</c:v>
                      </c:pt>
                      <c:pt idx="20">
                        <c:v>74.036721999999997</c:v>
                      </c:pt>
                      <c:pt idx="21">
                        <c:v>108.397113</c:v>
                      </c:pt>
                      <c:pt idx="22">
                        <c:v>101.897245</c:v>
                      </c:pt>
                      <c:pt idx="23">
                        <c:v>120.79994499999999</c:v>
                      </c:pt>
                      <c:pt idx="24">
                        <c:v>116.24860099999999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09'!$D$35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09'!$A$36:$A$60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09'!$D$36:$D$60</c:f>
              <c:numCache>
                <c:formatCode>0.000%</c:formatCode>
                <c:ptCount val="25"/>
                <c:pt idx="0">
                  <c:v>8.0790088365445512E-5</c:v>
                </c:pt>
                <c:pt idx="1">
                  <c:v>8.1089460700725286E-5</c:v>
                </c:pt>
                <c:pt idx="2">
                  <c:v>1.5379088450938379E-4</c:v>
                </c:pt>
                <c:pt idx="3">
                  <c:v>1.2062284246863322E-4</c:v>
                </c:pt>
                <c:pt idx="4">
                  <c:v>1.4482691869094116E-4</c:v>
                </c:pt>
                <c:pt idx="5">
                  <c:v>1.5024432108624674E-4</c:v>
                </c:pt>
                <c:pt idx="6">
                  <c:v>1.6128872454467449E-4</c:v>
                </c:pt>
                <c:pt idx="7">
                  <c:v>1.8491747072953802E-4</c:v>
                </c:pt>
                <c:pt idx="8">
                  <c:v>2.5318028863064834E-4</c:v>
                </c:pt>
                <c:pt idx="9">
                  <c:v>1.3722442326781557E-4</c:v>
                </c:pt>
                <c:pt idx="10">
                  <c:v>1.4757949934623808E-4</c:v>
                </c:pt>
                <c:pt idx="11">
                  <c:v>1.7804604313654214E-4</c:v>
                </c:pt>
                <c:pt idx="12">
                  <c:v>1.7021284312597094E-4</c:v>
                </c:pt>
                <c:pt idx="13">
                  <c:v>1.6250089988373368E-4</c:v>
                </c:pt>
                <c:pt idx="14">
                  <c:v>1.3991721639784347E-4</c:v>
                </c:pt>
                <c:pt idx="15">
                  <c:v>1.977675632380106E-4</c:v>
                </c:pt>
                <c:pt idx="16">
                  <c:v>1.7966542180867601E-4</c:v>
                </c:pt>
                <c:pt idx="17">
                  <c:v>1.759954584220179E-4</c:v>
                </c:pt>
                <c:pt idx="18">
                  <c:v>2.0678437497882916E-4</c:v>
                </c:pt>
                <c:pt idx="19">
                  <c:v>1.7408430432064946E-4</c:v>
                </c:pt>
                <c:pt idx="20">
                  <c:v>2.207315934316496E-4</c:v>
                </c:pt>
                <c:pt idx="21">
                  <c:v>2.9323486679744775E-4</c:v>
                </c:pt>
                <c:pt idx="22">
                  <c:v>2.6801530979933546E-4</c:v>
                </c:pt>
                <c:pt idx="23">
                  <c:v>3.1922524006680473E-4</c:v>
                </c:pt>
                <c:pt idx="24">
                  <c:v>3.9800239337705478E-4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20072"/>
        <c:axId val="194419680"/>
      </c:lineChart>
      <c:catAx>
        <c:axId val="194418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9288"/>
        <c:crosses val="autoZero"/>
        <c:auto val="1"/>
        <c:lblAlgn val="ctr"/>
        <c:lblOffset val="100"/>
        <c:noMultiLvlLbl val="0"/>
      </c:catAx>
      <c:valAx>
        <c:axId val="19441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Millones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18896"/>
        <c:crosses val="autoZero"/>
        <c:crossBetween val="between"/>
      </c:valAx>
      <c:valAx>
        <c:axId val="19441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0072"/>
        <c:crosses val="max"/>
        <c:crossBetween val="between"/>
      </c:valAx>
      <c:catAx>
        <c:axId val="194420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1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00'!$D$36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00'!$B$37:$B$61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00'!$D$37:$D$61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6411744"/>
        <c:axId val="4864121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00'!$C$36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00'!$B$37:$B$61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00'!$C$37:$C$61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1806.394</c:v>
                      </c:pt>
                      <c:pt idx="1">
                        <c:v>3152.6379999999999</c:v>
                      </c:pt>
                      <c:pt idx="2">
                        <c:v>3215.2869999999998</c:v>
                      </c:pt>
                      <c:pt idx="3">
                        <c:v>4474.9809999999998</c:v>
                      </c:pt>
                      <c:pt idx="4">
                        <c:v>3992.277</c:v>
                      </c:pt>
                      <c:pt idx="5">
                        <c:v>5379.8019999999997</c:v>
                      </c:pt>
                      <c:pt idx="6">
                        <c:v>3821.105</c:v>
                      </c:pt>
                      <c:pt idx="7">
                        <c:v>3538.69</c:v>
                      </c:pt>
                      <c:pt idx="8">
                        <c:v>3328.6469999999999</c:v>
                      </c:pt>
                      <c:pt idx="9">
                        <c:v>2423.2669999999998</c:v>
                      </c:pt>
                      <c:pt idx="10">
                        <c:v>3458.69</c:v>
                      </c:pt>
                      <c:pt idx="11">
                        <c:v>3495.8850000000002</c:v>
                      </c:pt>
                      <c:pt idx="12">
                        <c:v>4221.4390000000003</c:v>
                      </c:pt>
                      <c:pt idx="13">
                        <c:v>2268.058</c:v>
                      </c:pt>
                      <c:pt idx="14">
                        <c:v>3775.5949999999998</c:v>
                      </c:pt>
                      <c:pt idx="15">
                        <c:v>3769.5279999999998</c:v>
                      </c:pt>
                      <c:pt idx="16">
                        <c:v>4219.6670000000004</c:v>
                      </c:pt>
                      <c:pt idx="17">
                        <c:v>4908.3850000000002</c:v>
                      </c:pt>
                      <c:pt idx="18">
                        <c:v>4795.9279999999999</c:v>
                      </c:pt>
                      <c:pt idx="19">
                        <c:v>912.50599999999997</c:v>
                      </c:pt>
                      <c:pt idx="20">
                        <c:v>1611.5440000000001</c:v>
                      </c:pt>
                      <c:pt idx="21">
                        <c:v>1734.827</c:v>
                      </c:pt>
                      <c:pt idx="22">
                        <c:v>1652.723</c:v>
                      </c:pt>
                      <c:pt idx="23">
                        <c:v>1246.8779999999999</c:v>
                      </c:pt>
                      <c:pt idx="24">
                        <c:v>520.46799999999996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00'!$E$36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00'!$B$37:$B$61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00'!$E$37:$E$61</c:f>
              <c:numCache>
                <c:formatCode>0.0000000%</c:formatCode>
                <c:ptCount val="25"/>
                <c:pt idx="0">
                  <c:v>5.848463931330828E-8</c:v>
                </c:pt>
                <c:pt idx="1">
                  <c:v>8.5788915985782394E-8</c:v>
                </c:pt>
                <c:pt idx="2">
                  <c:v>5.9362308169776926E-8</c:v>
                </c:pt>
                <c:pt idx="3">
                  <c:v>5.4167455981643742E-8</c:v>
                </c:pt>
                <c:pt idx="4">
                  <c:v>4.0955554406581654E-8</c:v>
                </c:pt>
                <c:pt idx="5">
                  <c:v>3.9152963595428161E-8</c:v>
                </c:pt>
                <c:pt idx="6">
                  <c:v>2.2690589329255275E-8</c:v>
                </c:pt>
                <c:pt idx="7">
                  <c:v>1.9164908691438196E-8</c:v>
                </c:pt>
                <c:pt idx="8">
                  <c:v>1.8239437484095654E-8</c:v>
                </c:pt>
                <c:pt idx="9">
                  <c:v>1.3939800273818152E-8</c:v>
                </c:pt>
                <c:pt idx="10">
                  <c:v>2.0396520545335908E-8</c:v>
                </c:pt>
                <c:pt idx="11">
                  <c:v>1.8105524914871198E-8</c:v>
                </c:pt>
                <c:pt idx="12">
                  <c:v>2.0714739755023256E-8</c:v>
                </c:pt>
                <c:pt idx="13">
                  <c:v>1.0289919693495267E-8</c:v>
                </c:pt>
                <c:pt idx="14">
                  <c:v>1.4804879499626092E-8</c:v>
                </c:pt>
                <c:pt idx="15">
                  <c:v>1.3014997502326767E-8</c:v>
                </c:pt>
                <c:pt idx="16">
                  <c:v>1.3359018653890977E-8</c:v>
                </c:pt>
                <c:pt idx="17">
                  <c:v>1.3749188257870504E-8</c:v>
                </c:pt>
                <c:pt idx="18">
                  <c:v>1.1585381850110833E-8</c:v>
                </c:pt>
                <c:pt idx="19">
                  <c:v>1.9140974648244686E-9</c:v>
                </c:pt>
                <c:pt idx="20">
                  <c:v>3.5819627726537737E-9</c:v>
                </c:pt>
                <c:pt idx="21">
                  <c:v>3.5067687284621743E-9</c:v>
                </c:pt>
                <c:pt idx="22">
                  <c:v>2.8230136343494778E-9</c:v>
                </c:pt>
                <c:pt idx="23">
                  <c:v>2.0531180603232834E-9</c:v>
                </c:pt>
                <c:pt idx="24">
                  <c:v>8.0651287176059779E-10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412920"/>
        <c:axId val="486412528"/>
      </c:lineChart>
      <c:catAx>
        <c:axId val="486411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412136"/>
        <c:crosses val="autoZero"/>
        <c:auto val="1"/>
        <c:lblAlgn val="ctr"/>
        <c:lblOffset val="100"/>
        <c:noMultiLvlLbl val="0"/>
      </c:catAx>
      <c:valAx>
        <c:axId val="48641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411744"/>
        <c:crosses val="autoZero"/>
        <c:crossBetween val="between"/>
      </c:valAx>
      <c:valAx>
        <c:axId val="486412528"/>
        <c:scaling>
          <c:orientation val="minMax"/>
          <c:max val="1.0000000000000005E-7"/>
          <c:min val="0"/>
        </c:scaling>
        <c:delete val="0"/>
        <c:axPos val="r"/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412920"/>
        <c:crosses val="max"/>
        <c:crossBetween val="between"/>
        <c:majorUnit val="1.0000000000000005E-8"/>
      </c:valAx>
      <c:catAx>
        <c:axId val="486412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6412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09'!$C$95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09'!$A$96:$A$120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20856"/>
        <c:axId val="194421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09'!$B$95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de Colombia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09'!$A$96:$A$120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09'!$B$96:$B$120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1.0422279999999999</c:v>
                      </c:pt>
                      <c:pt idx="1">
                        <c:v>1.5849740000000001</c:v>
                      </c:pt>
                      <c:pt idx="2">
                        <c:v>1.24962</c:v>
                      </c:pt>
                      <c:pt idx="3">
                        <c:v>2.041169</c:v>
                      </c:pt>
                      <c:pt idx="4">
                        <c:v>1.4371849999999999</c:v>
                      </c:pt>
                      <c:pt idx="5">
                        <c:v>1.515906</c:v>
                      </c:pt>
                      <c:pt idx="6">
                        <c:v>1.349143</c:v>
                      </c:pt>
                      <c:pt idx="7">
                        <c:v>1.042678</c:v>
                      </c:pt>
                      <c:pt idx="8">
                        <c:v>1.478</c:v>
                      </c:pt>
                      <c:pt idx="9">
                        <c:v>1.979636</c:v>
                      </c:pt>
                      <c:pt idx="10">
                        <c:v>4.2792539999999999</c:v>
                      </c:pt>
                      <c:pt idx="11">
                        <c:v>3.681295</c:v>
                      </c:pt>
                      <c:pt idx="12">
                        <c:v>5.1394549999999999</c:v>
                      </c:pt>
                      <c:pt idx="13">
                        <c:v>8.7669619999999995</c:v>
                      </c:pt>
                      <c:pt idx="14">
                        <c:v>19.191551</c:v>
                      </c:pt>
                      <c:pt idx="15">
                        <c:v>15.957020999999999</c:v>
                      </c:pt>
                      <c:pt idx="16">
                        <c:v>17.968544000000001</c:v>
                      </c:pt>
                      <c:pt idx="17">
                        <c:v>19.799885</c:v>
                      </c:pt>
                      <c:pt idx="18">
                        <c:v>18.206178000000001</c:v>
                      </c:pt>
                      <c:pt idx="19">
                        <c:v>23.231349999999999</c:v>
                      </c:pt>
                      <c:pt idx="20">
                        <c:v>22.369783999999999</c:v>
                      </c:pt>
                      <c:pt idx="21">
                        <c:v>27.756962999999999</c:v>
                      </c:pt>
                      <c:pt idx="22">
                        <c:v>21.177413000000001</c:v>
                      </c:pt>
                      <c:pt idx="23">
                        <c:v>17.432943000000002</c:v>
                      </c:pt>
                      <c:pt idx="24">
                        <c:v>16.877009000000001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09'!$D$95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09'!$A$96:$A$120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09'!$D$96:$D$120</c:f>
              <c:numCache>
                <c:formatCode>0.00000%</c:formatCode>
                <c:ptCount val="25"/>
                <c:pt idx="0">
                  <c:v>1.6880802417475875E-8</c:v>
                </c:pt>
                <c:pt idx="1">
                  <c:v>2.4237674405161776E-8</c:v>
                </c:pt>
                <c:pt idx="2">
                  <c:v>1.8166466484016353E-8</c:v>
                </c:pt>
                <c:pt idx="3">
                  <c:v>2.7927725036617041E-8</c:v>
                </c:pt>
                <c:pt idx="4">
                  <c:v>1.8752267075153376E-8</c:v>
                </c:pt>
                <c:pt idx="5">
                  <c:v>1.8714424493910706E-8</c:v>
                </c:pt>
                <c:pt idx="6">
                  <c:v>1.5672192009887887E-8</c:v>
                </c:pt>
                <c:pt idx="7">
                  <c:v>1.1471655051375439E-8</c:v>
                </c:pt>
                <c:pt idx="8">
                  <c:v>1.529921876682086E-8</c:v>
                </c:pt>
                <c:pt idx="9">
                  <c:v>1.9248211361663679E-8</c:v>
                </c:pt>
                <c:pt idx="10">
                  <c:v>4.0287374371859291E-8</c:v>
                </c:pt>
                <c:pt idx="11">
                  <c:v>3.3534869552432364E-8</c:v>
                </c:pt>
                <c:pt idx="12">
                  <c:v>4.4649486085518916E-8</c:v>
                </c:pt>
                <c:pt idx="13">
                  <c:v>7.1421697952118332E-8</c:v>
                </c:pt>
                <c:pt idx="14">
                  <c:v>1.4657058655420159E-7</c:v>
                </c:pt>
                <c:pt idx="15">
                  <c:v>1.1516418868281844E-7</c:v>
                </c:pt>
                <c:pt idx="16">
                  <c:v>1.2411242582093001E-7</c:v>
                </c:pt>
                <c:pt idx="17">
                  <c:v>1.3452304712505592E-7</c:v>
                </c:pt>
                <c:pt idx="18">
                  <c:v>1.2626747734319902E-7</c:v>
                </c:pt>
                <c:pt idx="19">
                  <c:v>1.5524440317308336E-7</c:v>
                </c:pt>
                <c:pt idx="20">
                  <c:v>1.4415447012700022E-7</c:v>
                </c:pt>
                <c:pt idx="21">
                  <c:v>1.7181383395062474E-7</c:v>
                </c:pt>
                <c:pt idx="22">
                  <c:v>1.2709121799226559E-7</c:v>
                </c:pt>
                <c:pt idx="23">
                  <c:v>1.0048922728961548E-7</c:v>
                </c:pt>
                <c:pt idx="24">
                  <c:v>9.4038071886793776E-8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22032"/>
        <c:axId val="194421640"/>
      </c:lineChart>
      <c:catAx>
        <c:axId val="194420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1248"/>
        <c:crosses val="autoZero"/>
        <c:auto val="1"/>
        <c:lblAlgn val="ctr"/>
        <c:lblOffset val="100"/>
        <c:noMultiLvlLbl val="0"/>
      </c:catAx>
      <c:valAx>
        <c:axId val="19442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0856"/>
        <c:crosses val="autoZero"/>
        <c:crossBetween val="between"/>
      </c:valAx>
      <c:valAx>
        <c:axId val="1944216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2032"/>
        <c:crosses val="max"/>
        <c:crossBetween val="between"/>
      </c:valAx>
      <c:catAx>
        <c:axId val="19442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21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09'!$C$124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09'!$A$125:$A$149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22816"/>
        <c:axId val="1944232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09'!$B$124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09'!$A$125:$A$149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09'!$B$125:$B$149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4.3739749999999997</c:v>
                      </c:pt>
                      <c:pt idx="1">
                        <c:v>5.581029</c:v>
                      </c:pt>
                      <c:pt idx="2">
                        <c:v>9.8315420000000007</c:v>
                      </c:pt>
                      <c:pt idx="3">
                        <c:v>11.896477000000001</c:v>
                      </c:pt>
                      <c:pt idx="4">
                        <c:v>14.834728999999999</c:v>
                      </c:pt>
                      <c:pt idx="5">
                        <c:v>16.113661</c:v>
                      </c:pt>
                      <c:pt idx="6">
                        <c:v>18.552119000000001</c:v>
                      </c:pt>
                      <c:pt idx="7">
                        <c:v>19.246645999999998</c:v>
                      </c:pt>
                      <c:pt idx="8">
                        <c:v>23.298636000000002</c:v>
                      </c:pt>
                      <c:pt idx="9">
                        <c:v>15.686513999999999</c:v>
                      </c:pt>
                      <c:pt idx="10">
                        <c:v>18.772084</c:v>
                      </c:pt>
                      <c:pt idx="11">
                        <c:v>21.117947999999998</c:v>
                      </c:pt>
                      <c:pt idx="12">
                        <c:v>21.255986999999998</c:v>
                      </c:pt>
                      <c:pt idx="13">
                        <c:v>27.791733000000001</c:v>
                      </c:pt>
                      <c:pt idx="14">
                        <c:v>39.698695000000001</c:v>
                      </c:pt>
                      <c:pt idx="15">
                        <c:v>48.112077999999997</c:v>
                      </c:pt>
                      <c:pt idx="16">
                        <c:v>55.234116</c:v>
                      </c:pt>
                      <c:pt idx="17">
                        <c:v>62.739686000000006</c:v>
                      </c:pt>
                      <c:pt idx="18">
                        <c:v>66.556846000000007</c:v>
                      </c:pt>
                      <c:pt idx="19">
                        <c:v>73.196710999999993</c:v>
                      </c:pt>
                      <c:pt idx="20">
                        <c:v>96.406505999999993</c:v>
                      </c:pt>
                      <c:pt idx="21">
                        <c:v>136.154076</c:v>
                      </c:pt>
                      <c:pt idx="22">
                        <c:v>123.074658</c:v>
                      </c:pt>
                      <c:pt idx="23">
                        <c:v>138.232888</c:v>
                      </c:pt>
                      <c:pt idx="24">
                        <c:v>133.12560999999999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09'!$D$124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09'!$A$125:$A$149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09'!$D$125:$D$149</c:f>
              <c:numCache>
                <c:formatCode>0.00000%</c:formatCode>
                <c:ptCount val="25"/>
                <c:pt idx="0">
                  <c:v>1.0606262322986987E-6</c:v>
                </c:pt>
                <c:pt idx="1">
                  <c:v>1.1325235307449676E-6</c:v>
                </c:pt>
                <c:pt idx="2">
                  <c:v>1.7618448877432772E-6</c:v>
                </c:pt>
                <c:pt idx="3">
                  <c:v>1.4560548194969839E-6</c:v>
                </c:pt>
                <c:pt idx="4">
                  <c:v>1.6036283147755639E-6</c:v>
                </c:pt>
                <c:pt idx="5">
                  <c:v>1.6584646455286664E-6</c:v>
                </c:pt>
                <c:pt idx="6">
                  <c:v>1.7393778908434346E-6</c:v>
                </c:pt>
                <c:pt idx="7">
                  <c:v>1.9550908342328334E-6</c:v>
                </c:pt>
                <c:pt idx="8">
                  <c:v>2.7032921438130462E-6</c:v>
                </c:pt>
                <c:pt idx="9">
                  <c:v>1.5704326227551705E-6</c:v>
                </c:pt>
                <c:pt idx="10">
                  <c:v>1.9115485094391683E-6</c:v>
                </c:pt>
                <c:pt idx="11">
                  <c:v>2.1563582647215908E-6</c:v>
                </c:pt>
                <c:pt idx="12">
                  <c:v>2.2449258815225741E-6</c:v>
                </c:pt>
                <c:pt idx="13">
                  <c:v>2.3738428293452035E-6</c:v>
                </c:pt>
                <c:pt idx="14">
                  <c:v>2.708583359548744E-6</c:v>
                </c:pt>
                <c:pt idx="15">
                  <c:v>2.9591017140405316E-6</c:v>
                </c:pt>
                <c:pt idx="16">
                  <c:v>2.6629567766648904E-6</c:v>
                </c:pt>
                <c:pt idx="17">
                  <c:v>2.5714836915111595E-6</c:v>
                </c:pt>
                <c:pt idx="18">
                  <c:v>2.8464789360660305E-6</c:v>
                </c:pt>
                <c:pt idx="19">
                  <c:v>2.5502464623431076E-6</c:v>
                </c:pt>
                <c:pt idx="20">
                  <c:v>2.8742441739327531E-6</c:v>
                </c:pt>
                <c:pt idx="21">
                  <c:v>3.683227461951831E-6</c:v>
                </c:pt>
                <c:pt idx="22">
                  <c:v>3.2371721720560024E-6</c:v>
                </c:pt>
                <c:pt idx="23">
                  <c:v>3.6529343500055181E-6</c:v>
                </c:pt>
                <c:pt idx="24">
                  <c:v>4.5578450789081219E-6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23992"/>
        <c:axId val="194423600"/>
      </c:lineChart>
      <c:catAx>
        <c:axId val="19442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3208"/>
        <c:crosses val="autoZero"/>
        <c:auto val="1"/>
        <c:lblAlgn val="ctr"/>
        <c:lblOffset val="100"/>
        <c:noMultiLvlLbl val="0"/>
      </c:catAx>
      <c:valAx>
        <c:axId val="19442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2816"/>
        <c:crosses val="autoZero"/>
        <c:crossBetween val="between"/>
        <c:majorUnit val="80000"/>
      </c:valAx>
      <c:valAx>
        <c:axId val="194423600"/>
        <c:scaling>
          <c:orientation val="minMax"/>
          <c:max val="5.0000000000000021E-6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3992"/>
        <c:crosses val="max"/>
        <c:crossBetween val="between"/>
        <c:majorUnit val="1.0000000000000004E-6"/>
      </c:valAx>
      <c:catAx>
        <c:axId val="194423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23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09'!$C$153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09'!$A$154:$A$178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24776"/>
        <c:axId val="194425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09'!$B$153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09'!$A$154:$A$178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09'!$B$154:$B$178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4.3739749999999997</c:v>
                      </c:pt>
                      <c:pt idx="1">
                        <c:v>5.581029</c:v>
                      </c:pt>
                      <c:pt idx="2">
                        <c:v>9.8315420000000007</c:v>
                      </c:pt>
                      <c:pt idx="3">
                        <c:v>11.896477000000001</c:v>
                      </c:pt>
                      <c:pt idx="4">
                        <c:v>14.834728999999999</c:v>
                      </c:pt>
                      <c:pt idx="5">
                        <c:v>16.113661</c:v>
                      </c:pt>
                      <c:pt idx="6">
                        <c:v>18.552119000000001</c:v>
                      </c:pt>
                      <c:pt idx="7">
                        <c:v>19.246645999999998</c:v>
                      </c:pt>
                      <c:pt idx="8">
                        <c:v>23.298636000000002</c:v>
                      </c:pt>
                      <c:pt idx="9">
                        <c:v>15.686513999999999</c:v>
                      </c:pt>
                      <c:pt idx="10">
                        <c:v>18.772084</c:v>
                      </c:pt>
                      <c:pt idx="11">
                        <c:v>21.117947999999998</c:v>
                      </c:pt>
                      <c:pt idx="12">
                        <c:v>21.255986999999998</c:v>
                      </c:pt>
                      <c:pt idx="13">
                        <c:v>27.791733000000001</c:v>
                      </c:pt>
                      <c:pt idx="14">
                        <c:v>39.698695000000001</c:v>
                      </c:pt>
                      <c:pt idx="15">
                        <c:v>48.112077999999997</c:v>
                      </c:pt>
                      <c:pt idx="16">
                        <c:v>55.234116</c:v>
                      </c:pt>
                      <c:pt idx="17">
                        <c:v>62.739686000000006</c:v>
                      </c:pt>
                      <c:pt idx="18">
                        <c:v>66.556846000000007</c:v>
                      </c:pt>
                      <c:pt idx="19">
                        <c:v>73.196710999999993</c:v>
                      </c:pt>
                      <c:pt idx="20">
                        <c:v>96.406505999999993</c:v>
                      </c:pt>
                      <c:pt idx="21">
                        <c:v>136.154076</c:v>
                      </c:pt>
                      <c:pt idx="22">
                        <c:v>123.074658</c:v>
                      </c:pt>
                      <c:pt idx="23">
                        <c:v>138.232888</c:v>
                      </c:pt>
                      <c:pt idx="24">
                        <c:v>133.12560999999999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09'!$D$153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09'!$A$154:$A$178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09'!$D$154:$D$178</c:f>
              <c:numCache>
                <c:formatCode>0.000000%</c:formatCode>
                <c:ptCount val="25"/>
                <c:pt idx="0">
                  <c:v>7.0844582715086366E-8</c:v>
                </c:pt>
                <c:pt idx="1">
                  <c:v>8.5345982803355524E-8</c:v>
                </c:pt>
                <c:pt idx="2">
                  <c:v>1.4292695237688186E-7</c:v>
                </c:pt>
                <c:pt idx="3">
                  <c:v>1.6277022557193392E-7</c:v>
                </c:pt>
                <c:pt idx="4">
                  <c:v>1.9356227639136434E-7</c:v>
                </c:pt>
                <c:pt idx="5">
                  <c:v>1.9892915002973386E-7</c:v>
                </c:pt>
                <c:pt idx="6">
                  <c:v>2.1550893504861178E-7</c:v>
                </c:pt>
                <c:pt idx="7">
                  <c:v>2.1175366106116641E-7</c:v>
                </c:pt>
                <c:pt idx="8">
                  <c:v>2.4117112931835458E-7</c:v>
                </c:pt>
                <c:pt idx="9">
                  <c:v>1.5252164387781203E-7</c:v>
                </c:pt>
                <c:pt idx="10">
                  <c:v>1.7673126574117591E-7</c:v>
                </c:pt>
                <c:pt idx="11">
                  <c:v>1.9237459410208905E-7</c:v>
                </c:pt>
                <c:pt idx="12">
                  <c:v>1.8466333410652896E-7</c:v>
                </c:pt>
                <c:pt idx="13">
                  <c:v>2.2641055817190945E-7</c:v>
                </c:pt>
                <c:pt idx="14">
                  <c:v>3.0318867983032483E-7</c:v>
                </c:pt>
                <c:pt idx="15">
                  <c:v>3.4723200707165067E-7</c:v>
                </c:pt>
                <c:pt idx="16">
                  <c:v>3.8151338944516832E-7</c:v>
                </c:pt>
                <c:pt idx="17">
                  <c:v>4.262617553783374E-7</c:v>
                </c:pt>
                <c:pt idx="18">
                  <c:v>4.6159963086924595E-7</c:v>
                </c:pt>
                <c:pt idx="19">
                  <c:v>4.8913987837244349E-7</c:v>
                </c:pt>
                <c:pt idx="20">
                  <c:v>6.2125896205459412E-7</c:v>
                </c:pt>
                <c:pt idx="21">
                  <c:v>8.4278506281702143E-7</c:v>
                </c:pt>
                <c:pt idx="22">
                  <c:v>7.3860335014487047E-7</c:v>
                </c:pt>
                <c:pt idx="23">
                  <c:v>7.9681991165415725E-7</c:v>
                </c:pt>
                <c:pt idx="24">
                  <c:v>7.417709905323431E-7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25952"/>
        <c:axId val="194425560"/>
      </c:lineChart>
      <c:catAx>
        <c:axId val="194424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5168"/>
        <c:crosses val="autoZero"/>
        <c:auto val="1"/>
        <c:lblAlgn val="ctr"/>
        <c:lblOffset val="100"/>
        <c:noMultiLvlLbl val="0"/>
      </c:catAx>
      <c:valAx>
        <c:axId val="19442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4776"/>
        <c:crosses val="autoZero"/>
        <c:crossBetween val="between"/>
        <c:majorUnit val="4000"/>
      </c:valAx>
      <c:valAx>
        <c:axId val="1944255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5952"/>
        <c:crosses val="max"/>
        <c:crossBetween val="between"/>
      </c:valAx>
      <c:catAx>
        <c:axId val="194425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25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09'!$D$183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09'!$A$184:$A$208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26736"/>
        <c:axId val="19442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09'!$B$183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09'!$A$184:$A$208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09'!$B$184:$B$208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4.3739749999999997</c:v>
                      </c:pt>
                      <c:pt idx="1">
                        <c:v>5.581029</c:v>
                      </c:pt>
                      <c:pt idx="2">
                        <c:v>9.8315420000000007</c:v>
                      </c:pt>
                      <c:pt idx="3">
                        <c:v>11.896477000000001</c:v>
                      </c:pt>
                      <c:pt idx="4">
                        <c:v>14.834728999999999</c:v>
                      </c:pt>
                      <c:pt idx="5">
                        <c:v>16.113661</c:v>
                      </c:pt>
                      <c:pt idx="6">
                        <c:v>18.552119000000001</c:v>
                      </c:pt>
                      <c:pt idx="7">
                        <c:v>19.246645999999998</c:v>
                      </c:pt>
                      <c:pt idx="8">
                        <c:v>23.298636000000002</c:v>
                      </c:pt>
                      <c:pt idx="9">
                        <c:v>15.686513999999999</c:v>
                      </c:pt>
                      <c:pt idx="10">
                        <c:v>18.772084</c:v>
                      </c:pt>
                      <c:pt idx="11">
                        <c:v>21.117947999999998</c:v>
                      </c:pt>
                      <c:pt idx="12">
                        <c:v>21.255986999999998</c:v>
                      </c:pt>
                      <c:pt idx="13">
                        <c:v>27.791733000000001</c:v>
                      </c:pt>
                      <c:pt idx="14">
                        <c:v>39.698695000000001</c:v>
                      </c:pt>
                      <c:pt idx="15">
                        <c:v>48.112077999999997</c:v>
                      </c:pt>
                      <c:pt idx="16">
                        <c:v>55.234116</c:v>
                      </c:pt>
                      <c:pt idx="17">
                        <c:v>62.739686000000006</c:v>
                      </c:pt>
                      <c:pt idx="18">
                        <c:v>66.556846000000007</c:v>
                      </c:pt>
                      <c:pt idx="19">
                        <c:v>73.196710999999993</c:v>
                      </c:pt>
                      <c:pt idx="20">
                        <c:v>96.406505999999993</c:v>
                      </c:pt>
                      <c:pt idx="21">
                        <c:v>136.154076</c:v>
                      </c:pt>
                      <c:pt idx="22">
                        <c:v>123.074658</c:v>
                      </c:pt>
                      <c:pt idx="23">
                        <c:v>138.232888</c:v>
                      </c:pt>
                      <c:pt idx="24">
                        <c:v>133.12560999999999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09'!$C$183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09'!$A$184:$A$208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09'!$C$184:$C$208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2.1869874999999999</c:v>
                      </c:pt>
                      <c:pt idx="1">
                        <c:v>2.7905145</c:v>
                      </c:pt>
                      <c:pt idx="2">
                        <c:v>4.9157710000000003</c:v>
                      </c:pt>
                      <c:pt idx="3">
                        <c:v>5.9482385000000004</c:v>
                      </c:pt>
                      <c:pt idx="4">
                        <c:v>7.4173644999999997</c:v>
                      </c:pt>
                      <c:pt idx="5">
                        <c:v>8.0568305000000002</c:v>
                      </c:pt>
                      <c:pt idx="6">
                        <c:v>9.2760595000000006</c:v>
                      </c:pt>
                      <c:pt idx="7">
                        <c:v>9.6233229999999992</c:v>
                      </c:pt>
                      <c:pt idx="8">
                        <c:v>11.649318000000001</c:v>
                      </c:pt>
                      <c:pt idx="9">
                        <c:v>7.8432569999999995</c:v>
                      </c:pt>
                      <c:pt idx="10">
                        <c:v>9.3860419999999998</c:v>
                      </c:pt>
                      <c:pt idx="11">
                        <c:v>10.558973999999999</c:v>
                      </c:pt>
                      <c:pt idx="12">
                        <c:v>10.627993499999999</c:v>
                      </c:pt>
                      <c:pt idx="13">
                        <c:v>13.8958665</c:v>
                      </c:pt>
                      <c:pt idx="14">
                        <c:v>19.8493475</c:v>
                      </c:pt>
                      <c:pt idx="15">
                        <c:v>24.056038999999998</c:v>
                      </c:pt>
                      <c:pt idx="16">
                        <c:v>27.617058</c:v>
                      </c:pt>
                      <c:pt idx="17">
                        <c:v>31.369843000000003</c:v>
                      </c:pt>
                      <c:pt idx="18">
                        <c:v>33.278423000000004</c:v>
                      </c:pt>
                      <c:pt idx="19">
                        <c:v>36.598355499999997</c:v>
                      </c:pt>
                      <c:pt idx="20">
                        <c:v>48.203252999999997</c:v>
                      </c:pt>
                      <c:pt idx="21">
                        <c:v>68.077038000000002</c:v>
                      </c:pt>
                      <c:pt idx="22">
                        <c:v>61.537329</c:v>
                      </c:pt>
                      <c:pt idx="23">
                        <c:v>69.116444000000001</c:v>
                      </c:pt>
                      <c:pt idx="24">
                        <c:v>66.562804999999997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09'!$E$183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09'!$A$184:$A$208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09'!$E$184:$E$208</c:f>
              <c:numCache>
                <c:formatCode>0.00000%</c:formatCode>
                <c:ptCount val="25"/>
                <c:pt idx="0">
                  <c:v>5.3031311614934934E-7</c:v>
                </c:pt>
                <c:pt idx="1">
                  <c:v>5.6626176537248378E-7</c:v>
                </c:pt>
                <c:pt idx="2">
                  <c:v>8.8092244387163851E-7</c:v>
                </c:pt>
                <c:pt idx="3">
                  <c:v>7.2802740974849206E-7</c:v>
                </c:pt>
                <c:pt idx="4">
                  <c:v>8.0181415738778195E-7</c:v>
                </c:pt>
                <c:pt idx="5">
                  <c:v>8.2923232276433328E-7</c:v>
                </c:pt>
                <c:pt idx="6">
                  <c:v>8.6968894542171731E-7</c:v>
                </c:pt>
                <c:pt idx="7">
                  <c:v>9.775454171164167E-7</c:v>
                </c:pt>
                <c:pt idx="8">
                  <c:v>1.3516460719065233E-6</c:v>
                </c:pt>
                <c:pt idx="9">
                  <c:v>7.8521631137758526E-7</c:v>
                </c:pt>
                <c:pt idx="10">
                  <c:v>9.5577425471958415E-7</c:v>
                </c:pt>
                <c:pt idx="11">
                  <c:v>1.0781791323607956E-6</c:v>
                </c:pt>
                <c:pt idx="12">
                  <c:v>1.122462940761287E-6</c:v>
                </c:pt>
                <c:pt idx="13">
                  <c:v>1.1869214146726015E-6</c:v>
                </c:pt>
                <c:pt idx="14">
                  <c:v>1.354291679774372E-6</c:v>
                </c:pt>
                <c:pt idx="15">
                  <c:v>1.4795508570202656E-6</c:v>
                </c:pt>
                <c:pt idx="16">
                  <c:v>1.3314783883324452E-6</c:v>
                </c:pt>
                <c:pt idx="17">
                  <c:v>1.28574184575558E-6</c:v>
                </c:pt>
                <c:pt idx="18">
                  <c:v>1.4232394680330154E-6</c:v>
                </c:pt>
                <c:pt idx="19">
                  <c:v>1.275123231171554E-6</c:v>
                </c:pt>
                <c:pt idx="20">
                  <c:v>1.4371220869663763E-6</c:v>
                </c:pt>
                <c:pt idx="21">
                  <c:v>1.8416137309759153E-6</c:v>
                </c:pt>
                <c:pt idx="22">
                  <c:v>1.6185860860280014E-6</c:v>
                </c:pt>
                <c:pt idx="23">
                  <c:v>1.826467175002759E-6</c:v>
                </c:pt>
                <c:pt idx="24">
                  <c:v>2.2789225394540609E-6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27912"/>
        <c:axId val="194427520"/>
      </c:lineChart>
      <c:catAx>
        <c:axId val="194426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7128"/>
        <c:crosses val="autoZero"/>
        <c:auto val="1"/>
        <c:lblAlgn val="ctr"/>
        <c:lblOffset val="100"/>
        <c:noMultiLvlLbl val="0"/>
      </c:catAx>
      <c:valAx>
        <c:axId val="19442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6736"/>
        <c:crosses val="autoZero"/>
        <c:crossBetween val="between"/>
        <c:majorUnit val="80000"/>
      </c:valAx>
      <c:valAx>
        <c:axId val="194427520"/>
        <c:scaling>
          <c:orientation val="minMax"/>
          <c:max val="2.5000000000000011E-6"/>
          <c:min val="0"/>
        </c:scaling>
        <c:delete val="0"/>
        <c:axPos val="r"/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7912"/>
        <c:crosses val="max"/>
        <c:crossBetween val="between"/>
        <c:majorUnit val="5.0000000000000019E-7"/>
      </c:valAx>
      <c:catAx>
        <c:axId val="194427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2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09'!$D$212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09'!$A$213:$A$237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28696"/>
        <c:axId val="1944290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09'!$B$212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09'!$A$213:$A$237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09'!$B$213:$B$237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4.3739749999999997</c:v>
                      </c:pt>
                      <c:pt idx="1">
                        <c:v>5.581029</c:v>
                      </c:pt>
                      <c:pt idx="2">
                        <c:v>9.8315420000000007</c:v>
                      </c:pt>
                      <c:pt idx="3">
                        <c:v>11.896477000000001</c:v>
                      </c:pt>
                      <c:pt idx="4">
                        <c:v>14.834728999999999</c:v>
                      </c:pt>
                      <c:pt idx="5">
                        <c:v>16.113661</c:v>
                      </c:pt>
                      <c:pt idx="6">
                        <c:v>18.552119000000001</c:v>
                      </c:pt>
                      <c:pt idx="7">
                        <c:v>19.246645999999998</c:v>
                      </c:pt>
                      <c:pt idx="8">
                        <c:v>23.298636000000002</c:v>
                      </c:pt>
                      <c:pt idx="9">
                        <c:v>15.686513999999999</c:v>
                      </c:pt>
                      <c:pt idx="10">
                        <c:v>18.772084</c:v>
                      </c:pt>
                      <c:pt idx="11">
                        <c:v>21.117947999999998</c:v>
                      </c:pt>
                      <c:pt idx="12">
                        <c:v>21.255986999999998</c:v>
                      </c:pt>
                      <c:pt idx="13">
                        <c:v>27.791733000000001</c:v>
                      </c:pt>
                      <c:pt idx="14">
                        <c:v>39.698695000000001</c:v>
                      </c:pt>
                      <c:pt idx="15">
                        <c:v>48.112077999999997</c:v>
                      </c:pt>
                      <c:pt idx="16">
                        <c:v>55.234116</c:v>
                      </c:pt>
                      <c:pt idx="17">
                        <c:v>62.739686000000006</c:v>
                      </c:pt>
                      <c:pt idx="18">
                        <c:v>66.556846000000007</c:v>
                      </c:pt>
                      <c:pt idx="19">
                        <c:v>73.196710999999993</c:v>
                      </c:pt>
                      <c:pt idx="20">
                        <c:v>96.406505999999993</c:v>
                      </c:pt>
                      <c:pt idx="21">
                        <c:v>136.154076</c:v>
                      </c:pt>
                      <c:pt idx="22">
                        <c:v>123.074658</c:v>
                      </c:pt>
                      <c:pt idx="23">
                        <c:v>138.232888</c:v>
                      </c:pt>
                      <c:pt idx="24">
                        <c:v>133.12560999999999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09'!$C$212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09'!$A$213:$A$237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09'!$C$213:$C$237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2.1869874999999999</c:v>
                      </c:pt>
                      <c:pt idx="1">
                        <c:v>2.7905145</c:v>
                      </c:pt>
                      <c:pt idx="2">
                        <c:v>4.9157710000000003</c:v>
                      </c:pt>
                      <c:pt idx="3">
                        <c:v>5.9482385000000004</c:v>
                      </c:pt>
                      <c:pt idx="4">
                        <c:v>7.4173644999999997</c:v>
                      </c:pt>
                      <c:pt idx="5">
                        <c:v>8.0568305000000002</c:v>
                      </c:pt>
                      <c:pt idx="6">
                        <c:v>9.2760595000000006</c:v>
                      </c:pt>
                      <c:pt idx="7">
                        <c:v>9.6233229999999992</c:v>
                      </c:pt>
                      <c:pt idx="8">
                        <c:v>11.649318000000001</c:v>
                      </c:pt>
                      <c:pt idx="9">
                        <c:v>7.8432569999999995</c:v>
                      </c:pt>
                      <c:pt idx="10">
                        <c:v>9.3860419999999998</c:v>
                      </c:pt>
                      <c:pt idx="11">
                        <c:v>10.558973999999999</c:v>
                      </c:pt>
                      <c:pt idx="12">
                        <c:v>10.627993499999999</c:v>
                      </c:pt>
                      <c:pt idx="13">
                        <c:v>13.8958665</c:v>
                      </c:pt>
                      <c:pt idx="14">
                        <c:v>19.8493475</c:v>
                      </c:pt>
                      <c:pt idx="15">
                        <c:v>24.056038999999998</c:v>
                      </c:pt>
                      <c:pt idx="16">
                        <c:v>27.617058</c:v>
                      </c:pt>
                      <c:pt idx="17">
                        <c:v>31.369843000000003</c:v>
                      </c:pt>
                      <c:pt idx="18">
                        <c:v>33.278423000000004</c:v>
                      </c:pt>
                      <c:pt idx="19">
                        <c:v>36.598355499999997</c:v>
                      </c:pt>
                      <c:pt idx="20">
                        <c:v>48.203252999999997</c:v>
                      </c:pt>
                      <c:pt idx="21">
                        <c:v>68.077038000000002</c:v>
                      </c:pt>
                      <c:pt idx="22">
                        <c:v>61.537329</c:v>
                      </c:pt>
                      <c:pt idx="23">
                        <c:v>69.116444000000001</c:v>
                      </c:pt>
                      <c:pt idx="24">
                        <c:v>66.562804999999997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09'!$E$212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09'!$A$213:$A$237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09'!$E$213:$E$237</c:f>
              <c:numCache>
                <c:formatCode>0.000000%</c:formatCode>
                <c:ptCount val="25"/>
                <c:pt idx="0">
                  <c:v>3.5422291357543183E-8</c:v>
                </c:pt>
                <c:pt idx="1">
                  <c:v>4.2672991401677762E-8</c:v>
                </c:pt>
                <c:pt idx="2">
                  <c:v>7.1463476188440931E-8</c:v>
                </c:pt>
                <c:pt idx="3">
                  <c:v>8.138511278596696E-8</c:v>
                </c:pt>
                <c:pt idx="4">
                  <c:v>9.6781138195682169E-8</c:v>
                </c:pt>
                <c:pt idx="5">
                  <c:v>9.9464575014866928E-8</c:v>
                </c:pt>
                <c:pt idx="6">
                  <c:v>1.0775446752430589E-7</c:v>
                </c:pt>
                <c:pt idx="7">
                  <c:v>1.0587683053058321E-7</c:v>
                </c:pt>
                <c:pt idx="8">
                  <c:v>1.2058556465917729E-7</c:v>
                </c:pt>
                <c:pt idx="9">
                  <c:v>7.6260821938906015E-8</c:v>
                </c:pt>
                <c:pt idx="10">
                  <c:v>8.8365632870587955E-8</c:v>
                </c:pt>
                <c:pt idx="11">
                  <c:v>9.6187297051044526E-8</c:v>
                </c:pt>
                <c:pt idx="12">
                  <c:v>9.2331667053264481E-8</c:v>
                </c:pt>
                <c:pt idx="13">
                  <c:v>1.1320527908595473E-7</c:v>
                </c:pt>
                <c:pt idx="14">
                  <c:v>1.5159433991516241E-7</c:v>
                </c:pt>
                <c:pt idx="15">
                  <c:v>1.7361600353582534E-7</c:v>
                </c:pt>
                <c:pt idx="16">
                  <c:v>1.9075669472258416E-7</c:v>
                </c:pt>
                <c:pt idx="17">
                  <c:v>2.131308776891687E-7</c:v>
                </c:pt>
                <c:pt idx="18">
                  <c:v>2.3079981543462297E-7</c:v>
                </c:pt>
                <c:pt idx="19">
                  <c:v>2.4456993918622174E-7</c:v>
                </c:pt>
                <c:pt idx="20">
                  <c:v>3.1062948102729706E-7</c:v>
                </c:pt>
                <c:pt idx="21">
                  <c:v>4.2139253140851072E-7</c:v>
                </c:pt>
                <c:pt idx="22">
                  <c:v>3.6930167507243523E-7</c:v>
                </c:pt>
                <c:pt idx="23">
                  <c:v>3.9840995582707863E-7</c:v>
                </c:pt>
                <c:pt idx="24">
                  <c:v>3.7088549526617155E-7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29872"/>
        <c:axId val="194429480"/>
      </c:lineChart>
      <c:catAx>
        <c:axId val="194428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9088"/>
        <c:crosses val="autoZero"/>
        <c:auto val="1"/>
        <c:lblAlgn val="ctr"/>
        <c:lblOffset val="100"/>
        <c:noMultiLvlLbl val="0"/>
      </c:catAx>
      <c:valAx>
        <c:axId val="19442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8696"/>
        <c:crosses val="autoZero"/>
        <c:crossBetween val="between"/>
        <c:majorUnit val="4000"/>
      </c:valAx>
      <c:valAx>
        <c:axId val="194429480"/>
        <c:scaling>
          <c:orientation val="minMax"/>
          <c:max val="5.000000000000003E-7"/>
        </c:scaling>
        <c:delete val="0"/>
        <c:axPos val="r"/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29872"/>
        <c:crosses val="max"/>
        <c:crossBetween val="between"/>
      </c:valAx>
      <c:catAx>
        <c:axId val="194429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29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09'!$A$2:$A$26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09'!$B$2:$B$26</c:f>
              <c:numCache>
                <c:formatCode>[$$-409]#,##0.00</c:formatCode>
                <c:ptCount val="25"/>
                <c:pt idx="0">
                  <c:v>-2.2895190000000003</c:v>
                </c:pt>
                <c:pt idx="1">
                  <c:v>-2.4110810000000003</c:v>
                </c:pt>
                <c:pt idx="2">
                  <c:v>-7.3323020000000003</c:v>
                </c:pt>
                <c:pt idx="3">
                  <c:v>-7.8141390000000008</c:v>
                </c:pt>
                <c:pt idx="4">
                  <c:v>-11.960359</c:v>
                </c:pt>
                <c:pt idx="5">
                  <c:v>-13.081849</c:v>
                </c:pt>
                <c:pt idx="6">
                  <c:v>-15.853833</c:v>
                </c:pt>
                <c:pt idx="7">
                  <c:v>-17.161290000000001</c:v>
                </c:pt>
                <c:pt idx="8">
                  <c:v>-20.342635999999999</c:v>
                </c:pt>
                <c:pt idx="9">
                  <c:v>-11.727242</c:v>
                </c:pt>
                <c:pt idx="10">
                  <c:v>-10.213576</c:v>
                </c:pt>
                <c:pt idx="11">
                  <c:v>-13.755357999999999</c:v>
                </c:pt>
                <c:pt idx="12">
                  <c:v>-10.977077</c:v>
                </c:pt>
                <c:pt idx="13">
                  <c:v>-10.257809000000002</c:v>
                </c:pt>
                <c:pt idx="14">
                  <c:v>-1.3155929999999998</c:v>
                </c:pt>
                <c:pt idx="15">
                  <c:v>-16.198036000000002</c:v>
                </c:pt>
                <c:pt idx="16">
                  <c:v>-19.297027999999997</c:v>
                </c:pt>
                <c:pt idx="17">
                  <c:v>-23.139916000000003</c:v>
                </c:pt>
                <c:pt idx="18">
                  <c:v>-30.144489999999998</c:v>
                </c:pt>
                <c:pt idx="19">
                  <c:v>-26.734011000000002</c:v>
                </c:pt>
                <c:pt idx="20">
                  <c:v>-51.666938000000002</c:v>
                </c:pt>
                <c:pt idx="21">
                  <c:v>-80.640150000000006</c:v>
                </c:pt>
                <c:pt idx="22">
                  <c:v>-80.719831999999997</c:v>
                </c:pt>
                <c:pt idx="23">
                  <c:v>-103.36700199999999</c:v>
                </c:pt>
                <c:pt idx="24">
                  <c:v>-99.371591999999993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430656"/>
        <c:axId val="194431048"/>
      </c:lineChart>
      <c:catAx>
        <c:axId val="19443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4431048"/>
        <c:crosses val="autoZero"/>
        <c:auto val="1"/>
        <c:lblAlgn val="ctr"/>
        <c:lblOffset val="100"/>
        <c:noMultiLvlLbl val="0"/>
      </c:catAx>
      <c:valAx>
        <c:axId val="194431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[$$-409]#,##0.00" sourceLinked="1"/>
        <c:majorTickMark val="out"/>
        <c:minorTickMark val="none"/>
        <c:tickLblPos val="nextTo"/>
        <c:crossAx val="194430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09'!$D$5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09'!$D$6:$D$30</c:f>
              <c:numCache>
                <c:formatCode>"$"\ #,##0.0000</c:formatCode>
                <c:ptCount val="25"/>
                <c:pt idx="0">
                  <c:v>2.9922794832240755E-2</c:v>
                </c:pt>
                <c:pt idx="1">
                  <c:v>4.4620834921598358E-2</c:v>
                </c:pt>
                <c:pt idx="2">
                  <c:v>3.4513112729135945E-2</c:v>
                </c:pt>
                <c:pt idx="3">
                  <c:v>5.5385419808294402E-2</c:v>
                </c:pt>
                <c:pt idx="4">
                  <c:v>3.835338233821653E-2</c:v>
                </c:pt>
                <c:pt idx="5">
                  <c:v>3.9820952215834537E-2</c:v>
                </c:pt>
                <c:pt idx="6">
                  <c:v>3.4919603223868834E-2</c:v>
                </c:pt>
                <c:pt idx="7">
                  <c:v>2.660948004484227E-2</c:v>
                </c:pt>
                <c:pt idx="8">
                  <c:v>3.7200360284734273E-2</c:v>
                </c:pt>
                <c:pt idx="9">
                  <c:v>4.9127890333732278E-2</c:v>
                </c:pt>
                <c:pt idx="10">
                  <c:v>0.10484887846413522</c:v>
                </c:pt>
                <c:pt idx="11">
                  <c:v>8.9073306320063689E-2</c:v>
                </c:pt>
                <c:pt idx="12">
                  <c:v>0.12280962592163881</c:v>
                </c:pt>
                <c:pt idx="13">
                  <c:v>0.20692175262610851</c:v>
                </c:pt>
                <c:pt idx="14">
                  <c:v>0.44747449391670402</c:v>
                </c:pt>
                <c:pt idx="15">
                  <c:v>0.36762284420138103</c:v>
                </c:pt>
                <c:pt idx="16">
                  <c:v>0.40905532002931505</c:v>
                </c:pt>
                <c:pt idx="17">
                  <c:v>0.4454302382793407</c:v>
                </c:pt>
                <c:pt idx="18">
                  <c:v>0.40477213814711771</c:v>
                </c:pt>
                <c:pt idx="19">
                  <c:v>0.51047159648833529</c:v>
                </c:pt>
                <c:pt idx="20">
                  <c:v>0.48582859910111936</c:v>
                </c:pt>
                <c:pt idx="21">
                  <c:v>0.59587541260461185</c:v>
                </c:pt>
                <c:pt idx="22">
                  <c:v>0.44942537300018681</c:v>
                </c:pt>
                <c:pt idx="23">
                  <c:v>0.36576352036485749</c:v>
                </c:pt>
                <c:pt idx="24">
                  <c:v>0.35012068130871665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09'!$D$35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09'!$D$36:$D$60</c:f>
              <c:numCache>
                <c:formatCode>"$"\ #,##0.00</c:formatCode>
                <c:ptCount val="25"/>
                <c:pt idx="0">
                  <c:v>9.5655827624985743E-2</c:v>
                </c:pt>
                <c:pt idx="1">
                  <c:v>0.11249857126528746</c:v>
                </c:pt>
                <c:pt idx="2">
                  <c:v>0.23702312816588392</c:v>
                </c:pt>
                <c:pt idx="3">
                  <c:v>0.2674155696662267</c:v>
                </c:pt>
                <c:pt idx="4">
                  <c:v>0.35753304371050271</c:v>
                </c:pt>
                <c:pt idx="5">
                  <c:v>0.38346474274358677</c:v>
                </c:pt>
                <c:pt idx="6">
                  <c:v>0.44526124820700114</c:v>
                </c:pt>
                <c:pt idx="7">
                  <c:v>0.46457115546021616</c:v>
                </c:pt>
                <c:pt idx="8">
                  <c:v>0.54921212506227535</c:v>
                </c:pt>
                <c:pt idx="9">
                  <c:v>0.34015849338052428</c:v>
                </c:pt>
                <c:pt idx="10">
                  <c:v>0.35509856887938246</c:v>
                </c:pt>
                <c:pt idx="11">
                  <c:v>0.42190053605202993</c:v>
                </c:pt>
                <c:pt idx="12">
                  <c:v>0.38511189728757644</c:v>
                </c:pt>
                <c:pt idx="13">
                  <c:v>0.44903114198856614</c:v>
                </c:pt>
                <c:pt idx="14">
                  <c:v>0.47814915444181516</c:v>
                </c:pt>
                <c:pt idx="15">
                  <c:v>0.74079826740827914</c:v>
                </c:pt>
                <c:pt idx="16">
                  <c:v>0.84835368299932823</c:v>
                </c:pt>
                <c:pt idx="17">
                  <c:v>0.96599984247875548</c:v>
                </c:pt>
                <c:pt idx="18">
                  <c:v>1.0749649524024991</c:v>
                </c:pt>
                <c:pt idx="19">
                  <c:v>1.0979085416381746</c:v>
                </c:pt>
                <c:pt idx="20">
                  <c:v>1.6079349237926939</c:v>
                </c:pt>
                <c:pt idx="21">
                  <c:v>2.3270259946674909</c:v>
                </c:pt>
                <c:pt idx="22">
                  <c:v>2.1624552225437745</c:v>
                </c:pt>
                <c:pt idx="23">
                  <c:v>2.5345240412408372</c:v>
                </c:pt>
                <c:pt idx="24">
                  <c:v>2.4116263363552841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09'!$D$64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09'!$D$65:$D$89</c:f>
              <c:numCache>
                <c:formatCode>"$"\ #,##0.0000</c:formatCode>
                <c:ptCount val="25"/>
                <c:pt idx="0">
                  <c:v>0.12557862245722651</c:v>
                </c:pt>
                <c:pt idx="1">
                  <c:v>0.1571194061868858</c:v>
                </c:pt>
                <c:pt idx="2">
                  <c:v>0.27153624089501988</c:v>
                </c:pt>
                <c:pt idx="3">
                  <c:v>0.32280098947452107</c:v>
                </c:pt>
                <c:pt idx="4">
                  <c:v>0.39588642604871921</c:v>
                </c:pt>
                <c:pt idx="5">
                  <c:v>0.42328569495942137</c:v>
                </c:pt>
                <c:pt idx="6">
                  <c:v>0.48018085143086997</c:v>
                </c:pt>
                <c:pt idx="7">
                  <c:v>0.49118063550505842</c:v>
                </c:pt>
                <c:pt idx="8">
                  <c:v>0.58641248534700974</c:v>
                </c:pt>
                <c:pt idx="9">
                  <c:v>0.38928638371425656</c:v>
                </c:pt>
                <c:pt idx="10">
                  <c:v>0.45994744734351767</c:v>
                </c:pt>
                <c:pt idx="11">
                  <c:v>0.51097384237209353</c:v>
                </c:pt>
                <c:pt idx="12">
                  <c:v>0.50792152320921524</c:v>
                </c:pt>
                <c:pt idx="13">
                  <c:v>0.65595289461467465</c:v>
                </c:pt>
                <c:pt idx="14">
                  <c:v>0.92562364835851918</c:v>
                </c:pt>
                <c:pt idx="15">
                  <c:v>1.1084211116096601</c:v>
                </c:pt>
                <c:pt idx="16">
                  <c:v>1.2574090030286433</c:v>
                </c:pt>
                <c:pt idx="17">
                  <c:v>1.4114300807580962</c:v>
                </c:pt>
                <c:pt idx="18">
                  <c:v>1.4797370905496168</c:v>
                </c:pt>
                <c:pt idx="19">
                  <c:v>1.6083801381265097</c:v>
                </c:pt>
                <c:pt idx="20">
                  <c:v>2.0937635228938132</c:v>
                </c:pt>
                <c:pt idx="21">
                  <c:v>2.9229014072721027</c:v>
                </c:pt>
                <c:pt idx="22">
                  <c:v>2.611880595543961</c:v>
                </c:pt>
                <c:pt idx="23">
                  <c:v>2.9002875616056949</c:v>
                </c:pt>
                <c:pt idx="24">
                  <c:v>2.7617470176640011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431832"/>
        <c:axId val="194432224"/>
      </c:lineChart>
      <c:catAx>
        <c:axId val="194431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32224"/>
        <c:crosses val="autoZero"/>
        <c:auto val="1"/>
        <c:lblAlgn val="ctr"/>
        <c:lblOffset val="100"/>
        <c:noMultiLvlLbl val="0"/>
      </c:catAx>
      <c:valAx>
        <c:axId val="19443222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31832"/>
        <c:crosses val="autoZero"/>
        <c:crossBetween val="between"/>
        <c:majorUnit val="0.60000000000000009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09'!$D$96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09'!$D$97:$D$121</c:f>
              <c:numCache>
                <c:formatCode>"$"\ #,##0.000</c:formatCode>
                <c:ptCount val="25"/>
                <c:pt idx="0">
                  <c:v>1.3136767605078465E-2</c:v>
                </c:pt>
                <c:pt idx="1">
                  <c:v>1.5578190054421556E-2</c:v>
                </c:pt>
                <c:pt idx="2">
                  <c:v>3.3118083131697867E-2</c:v>
                </c:pt>
                <c:pt idx="3">
                  <c:v>3.7322088456833845E-2</c:v>
                </c:pt>
                <c:pt idx="4">
                  <c:v>5.0291458644584418E-2</c:v>
                </c:pt>
                <c:pt idx="5">
                  <c:v>5.4280872345963634E-2</c:v>
                </c:pt>
                <c:pt idx="6">
                  <c:v>6.3389093803314089E-2</c:v>
                </c:pt>
                <c:pt idx="7">
                  <c:v>6.7028867679981147E-2</c:v>
                </c:pt>
                <c:pt idx="8">
                  <c:v>7.9630382740197944E-2</c:v>
                </c:pt>
                <c:pt idx="9">
                  <c:v>4.8099548247281881E-2</c:v>
                </c:pt>
                <c:pt idx="10">
                  <c:v>5.0387901869221867E-2</c:v>
                </c:pt>
                <c:pt idx="11">
                  <c:v>6.0104019975213842E-2</c:v>
                </c:pt>
                <c:pt idx="12">
                  <c:v>5.5041804605598356E-2</c:v>
                </c:pt>
                <c:pt idx="13">
                  <c:v>6.4378011470008836E-2</c:v>
                </c:pt>
                <c:pt idx="14">
                  <c:v>6.8728299645051172E-2</c:v>
                </c:pt>
                <c:pt idx="15">
                  <c:v>0.10674543756683218</c:v>
                </c:pt>
                <c:pt idx="16">
                  <c:v>0.12254623953965597</c:v>
                </c:pt>
                <c:pt idx="17">
                  <c:v>0.13997322743728283</c:v>
                </c:pt>
                <c:pt idx="18">
                  <c:v>0.15660361705373052</c:v>
                </c:pt>
                <c:pt idx="19">
                  <c:v>0.16151878567895991</c:v>
                </c:pt>
                <c:pt idx="20">
                  <c:v>0.23750909272796311</c:v>
                </c:pt>
                <c:pt idx="21">
                  <c:v>0.34509056031904639</c:v>
                </c:pt>
                <c:pt idx="22">
                  <c:v>0.32195273270551988</c:v>
                </c:pt>
                <c:pt idx="23">
                  <c:v>0.37885297730403678</c:v>
                </c:pt>
                <c:pt idx="24">
                  <c:v>0.36167328658601877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09'!$D$126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09'!$D$127:$D$151</c:f>
              <c:numCache>
                <c:formatCode>"$"\ #,##0.0000</c:formatCode>
                <c:ptCount val="25"/>
                <c:pt idx="0">
                  <c:v>4.109407775412033E-3</c:v>
                </c:pt>
                <c:pt idx="1">
                  <c:v>6.1788504420776874E-3</c:v>
                </c:pt>
                <c:pt idx="2">
                  <c:v>4.8223485418572073E-3</c:v>
                </c:pt>
                <c:pt idx="3">
                  <c:v>7.7299146788052759E-3</c:v>
                </c:pt>
                <c:pt idx="4">
                  <c:v>5.3948790906838641E-3</c:v>
                </c:pt>
                <c:pt idx="5">
                  <c:v>5.6368051165730862E-3</c:v>
                </c:pt>
                <c:pt idx="6">
                  <c:v>4.971288234145335E-3</c:v>
                </c:pt>
                <c:pt idx="7">
                  <c:v>3.8392467892070224E-3</c:v>
                </c:pt>
                <c:pt idx="8">
                  <c:v>5.3936881441041659E-3</c:v>
                </c:pt>
                <c:pt idx="9">
                  <c:v>6.9468479469982965E-3</c:v>
                </c:pt>
                <c:pt idx="10">
                  <c:v>1.4877883106713813E-2</c:v>
                </c:pt>
                <c:pt idx="11">
                  <c:v>1.2689397914534106E-2</c:v>
                </c:pt>
                <c:pt idx="12">
                  <c:v>1.7552465871023961E-2</c:v>
                </c:pt>
                <c:pt idx="13">
                  <c:v>2.9666563670760166E-2</c:v>
                </c:pt>
                <c:pt idx="14">
                  <c:v>6.4319179100770021E-2</c:v>
                </c:pt>
                <c:pt idx="15">
                  <c:v>5.2972668930679548E-2</c:v>
                </c:pt>
                <c:pt idx="16">
                  <c:v>5.9088788364843776E-2</c:v>
                </c:pt>
                <c:pt idx="17">
                  <c:v>6.454277248134066E-2</c:v>
                </c:pt>
                <c:pt idx="18">
                  <c:v>5.8968230336012173E-2</c:v>
                </c:pt>
                <c:pt idx="19">
                  <c:v>7.5098015236653756E-2</c:v>
                </c:pt>
                <c:pt idx="20">
                  <c:v>7.176205211193043E-2</c:v>
                </c:pt>
                <c:pt idx="21">
                  <c:v>8.8366430150450953E-2</c:v>
                </c:pt>
                <c:pt idx="22">
                  <c:v>6.6911779479252878E-2</c:v>
                </c:pt>
                <c:pt idx="23">
                  <c:v>5.4673223226397727E-2</c:v>
                </c:pt>
                <c:pt idx="24">
                  <c:v>5.2507843193500617E-2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09'!$D$155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09'!$D$156:$D$180</c:f>
              <c:numCache>
                <c:formatCode>"$"\ #,##0.0000</c:formatCode>
                <c:ptCount val="25"/>
                <c:pt idx="0">
                  <c:v>1.7246175380490496E-2</c:v>
                </c:pt>
                <c:pt idx="1">
                  <c:v>2.1757040496499246E-2</c:v>
                </c:pt>
                <c:pt idx="2">
                  <c:v>3.7940431673555076E-2</c:v>
                </c:pt>
                <c:pt idx="3">
                  <c:v>4.5052003135639111E-2</c:v>
                </c:pt>
                <c:pt idx="4">
                  <c:v>5.5686337735268279E-2</c:v>
                </c:pt>
                <c:pt idx="5">
                  <c:v>5.9917677462536727E-2</c:v>
                </c:pt>
                <c:pt idx="6">
                  <c:v>6.8360382037459436E-2</c:v>
                </c:pt>
                <c:pt idx="7">
                  <c:v>7.0868114469188156E-2</c:v>
                </c:pt>
                <c:pt idx="8">
                  <c:v>8.5024070884302111E-2</c:v>
                </c:pt>
                <c:pt idx="9">
                  <c:v>5.504639619428018E-2</c:v>
                </c:pt>
                <c:pt idx="10">
                  <c:v>6.5265784975935673E-2</c:v>
                </c:pt>
                <c:pt idx="11">
                  <c:v>7.2793417889747941E-2</c:v>
                </c:pt>
                <c:pt idx="12">
                  <c:v>7.2594270476622313E-2</c:v>
                </c:pt>
                <c:pt idx="13">
                  <c:v>9.4044575140768999E-2</c:v>
                </c:pt>
                <c:pt idx="14">
                  <c:v>0.13304747874582118</c:v>
                </c:pt>
                <c:pt idx="15">
                  <c:v>0.15971810649751172</c:v>
                </c:pt>
                <c:pt idx="16">
                  <c:v>0.18163502790449976</c:v>
                </c:pt>
                <c:pt idx="17">
                  <c:v>0.20451599991862351</c:v>
                </c:pt>
                <c:pt idx="18">
                  <c:v>0.21557184738974269</c:v>
                </c:pt>
                <c:pt idx="19">
                  <c:v>0.23661680091561368</c:v>
                </c:pt>
                <c:pt idx="20">
                  <c:v>0.30927114483989354</c:v>
                </c:pt>
                <c:pt idx="21">
                  <c:v>0.43345699046949737</c:v>
                </c:pt>
                <c:pt idx="22">
                  <c:v>0.3888645121847728</c:v>
                </c:pt>
                <c:pt idx="23">
                  <c:v>0.43352620053043456</c:v>
                </c:pt>
                <c:pt idx="24">
                  <c:v>0.41418112977951943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433008"/>
        <c:axId val="194433400"/>
      </c:lineChart>
      <c:catAx>
        <c:axId val="194433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33400"/>
        <c:crosses val="autoZero"/>
        <c:auto val="1"/>
        <c:lblAlgn val="ctr"/>
        <c:lblOffset val="100"/>
        <c:noMultiLvlLbl val="0"/>
      </c:catAx>
      <c:valAx>
        <c:axId val="19443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330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09'!$D$5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09'!$B$6:$B$30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09'!$D$6:$D$30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34184"/>
        <c:axId val="1944345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09'!$C$5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09'!$B$6:$B$30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09'!$C$6:$C$30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1.0422279999999999</c:v>
                      </c:pt>
                      <c:pt idx="1">
                        <c:v>1.5849740000000001</c:v>
                      </c:pt>
                      <c:pt idx="2">
                        <c:v>1.24962</c:v>
                      </c:pt>
                      <c:pt idx="3">
                        <c:v>2.041169</c:v>
                      </c:pt>
                      <c:pt idx="4">
                        <c:v>1.4371849999999999</c:v>
                      </c:pt>
                      <c:pt idx="5">
                        <c:v>1.515906</c:v>
                      </c:pt>
                      <c:pt idx="6">
                        <c:v>1.349143</c:v>
                      </c:pt>
                      <c:pt idx="7">
                        <c:v>1.042678</c:v>
                      </c:pt>
                      <c:pt idx="8">
                        <c:v>1.478</c:v>
                      </c:pt>
                      <c:pt idx="9">
                        <c:v>1.979636</c:v>
                      </c:pt>
                      <c:pt idx="10">
                        <c:v>4.2792539999999999</c:v>
                      </c:pt>
                      <c:pt idx="11">
                        <c:v>3.681295</c:v>
                      </c:pt>
                      <c:pt idx="12">
                        <c:v>5.1394549999999999</c:v>
                      </c:pt>
                      <c:pt idx="13">
                        <c:v>8.7669619999999995</c:v>
                      </c:pt>
                      <c:pt idx="14">
                        <c:v>19.191551</c:v>
                      </c:pt>
                      <c:pt idx="15">
                        <c:v>15.957020999999999</c:v>
                      </c:pt>
                      <c:pt idx="16">
                        <c:v>17.968544000000001</c:v>
                      </c:pt>
                      <c:pt idx="17">
                        <c:v>19.799885</c:v>
                      </c:pt>
                      <c:pt idx="18">
                        <c:v>18.206178000000001</c:v>
                      </c:pt>
                      <c:pt idx="19">
                        <c:v>23.231349999999999</c:v>
                      </c:pt>
                      <c:pt idx="20">
                        <c:v>22.369783999999999</c:v>
                      </c:pt>
                      <c:pt idx="21">
                        <c:v>27.756962999999999</c:v>
                      </c:pt>
                      <c:pt idx="22">
                        <c:v>21.177413000000001</c:v>
                      </c:pt>
                      <c:pt idx="23">
                        <c:v>17.432943000000002</c:v>
                      </c:pt>
                      <c:pt idx="24">
                        <c:v>16.877009000000001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09'!$E$5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09'!$B$6:$B$30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09'!$E$6:$E$30</c:f>
              <c:numCache>
                <c:formatCode>0.000000000%</c:formatCode>
                <c:ptCount val="25"/>
                <c:pt idx="0">
                  <c:v>3.3743650976603469E-10</c:v>
                </c:pt>
                <c:pt idx="1">
                  <c:v>4.3129976015530323E-10</c:v>
                </c:pt>
                <c:pt idx="2">
                  <c:v>2.3071137206450511E-10</c:v>
                </c:pt>
                <c:pt idx="3">
                  <c:v>2.4707352267774052E-10</c:v>
                </c:pt>
                <c:pt idx="4">
                  <c:v>1.4743643404458923E-10</c:v>
                </c:pt>
                <c:pt idx="5">
                  <c:v>1.1032415771452391E-10</c:v>
                </c:pt>
                <c:pt idx="6">
                  <c:v>8.0115175477877339E-11</c:v>
                </c:pt>
                <c:pt idx="7">
                  <c:v>5.6469565473583145E-11</c:v>
                </c:pt>
                <c:pt idx="8">
                  <c:v>8.0987526167519044E-11</c:v>
                </c:pt>
                <c:pt idx="9">
                  <c:v>1.1387820844694486E-10</c:v>
                </c:pt>
                <c:pt idx="10">
                  <c:v>2.5235534878728897E-10</c:v>
                </c:pt>
                <c:pt idx="11">
                  <c:v>1.906578115169428E-10</c:v>
                </c:pt>
                <c:pt idx="12">
                  <c:v>2.5219474403788149E-10</c:v>
                </c:pt>
                <c:pt idx="13">
                  <c:v>3.9774703705074852E-10</c:v>
                </c:pt>
                <c:pt idx="14">
                  <c:v>7.525399307021241E-10</c:v>
                </c:pt>
                <c:pt idx="15">
                  <c:v>5.5094587030412231E-10</c:v>
                </c:pt>
                <c:pt idx="16">
                  <c:v>5.6886506560650595E-10</c:v>
                </c:pt>
                <c:pt idx="17">
                  <c:v>5.54627125519262E-10</c:v>
                </c:pt>
                <c:pt idx="18">
                  <c:v>4.3980127341587945E-10</c:v>
                </c:pt>
                <c:pt idx="19">
                  <c:v>4.8730713156351765E-10</c:v>
                </c:pt>
                <c:pt idx="20">
                  <c:v>4.9721095744395444E-10</c:v>
                </c:pt>
                <c:pt idx="21">
                  <c:v>5.6107755900433653E-10</c:v>
                </c:pt>
                <c:pt idx="22">
                  <c:v>3.6173106829910326E-10</c:v>
                </c:pt>
                <c:pt idx="23">
                  <c:v>2.8705206217357565E-10</c:v>
                </c:pt>
                <c:pt idx="24">
                  <c:v>2.6152472381240454E-10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72192"/>
        <c:axId val="194434968"/>
      </c:lineChart>
      <c:catAx>
        <c:axId val="194434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34576"/>
        <c:crosses val="autoZero"/>
        <c:auto val="1"/>
        <c:lblAlgn val="ctr"/>
        <c:lblOffset val="100"/>
        <c:noMultiLvlLbl val="0"/>
      </c:catAx>
      <c:valAx>
        <c:axId val="1944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434184"/>
        <c:crosses val="autoZero"/>
        <c:crossBetween val="between"/>
      </c:valAx>
      <c:valAx>
        <c:axId val="194434968"/>
        <c:scaling>
          <c:orientation val="minMax"/>
          <c:max val="8.0000000000000044E-10"/>
          <c:min val="0"/>
        </c:scaling>
        <c:delete val="0"/>
        <c:axPos val="r"/>
        <c:numFmt formatCode="0.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72192"/>
        <c:crosses val="max"/>
        <c:crossBetween val="between"/>
        <c:majorUnit val="2.0000000000000011E-10"/>
      </c:valAx>
      <c:catAx>
        <c:axId val="461272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434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09'!$D$36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09'!$B$37:$B$61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09'!$D$37:$D$61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272976"/>
        <c:axId val="461273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09'!$C$36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09'!$B$37:$B$61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09'!$C$37:$C$61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3.331747</c:v>
                      </c:pt>
                      <c:pt idx="1">
                        <c:v>3.9960550000000001</c:v>
                      </c:pt>
                      <c:pt idx="2">
                        <c:v>8.5819220000000005</c:v>
                      </c:pt>
                      <c:pt idx="3">
                        <c:v>9.8553080000000008</c:v>
                      </c:pt>
                      <c:pt idx="4">
                        <c:v>13.397544</c:v>
                      </c:pt>
                      <c:pt idx="5">
                        <c:v>14.597754999999999</c:v>
                      </c:pt>
                      <c:pt idx="6">
                        <c:v>17.202976</c:v>
                      </c:pt>
                      <c:pt idx="7">
                        <c:v>18.203968</c:v>
                      </c:pt>
                      <c:pt idx="8">
                        <c:v>21.820636</c:v>
                      </c:pt>
                      <c:pt idx="9">
                        <c:v>13.706878</c:v>
                      </c:pt>
                      <c:pt idx="10">
                        <c:v>14.49283</c:v>
                      </c:pt>
                      <c:pt idx="11">
                        <c:v>17.436653</c:v>
                      </c:pt>
                      <c:pt idx="12">
                        <c:v>16.116531999999999</c:v>
                      </c:pt>
                      <c:pt idx="13">
                        <c:v>19.024771000000001</c:v>
                      </c:pt>
                      <c:pt idx="14">
                        <c:v>20.507144</c:v>
                      </c:pt>
                      <c:pt idx="15">
                        <c:v>32.155056999999999</c:v>
                      </c:pt>
                      <c:pt idx="16">
                        <c:v>37.265571999999999</c:v>
                      </c:pt>
                      <c:pt idx="17">
                        <c:v>42.939801000000003</c:v>
                      </c:pt>
                      <c:pt idx="18">
                        <c:v>48.350667999999999</c:v>
                      </c:pt>
                      <c:pt idx="19">
                        <c:v>49.965361000000001</c:v>
                      </c:pt>
                      <c:pt idx="20">
                        <c:v>74.036721999999997</c:v>
                      </c:pt>
                      <c:pt idx="21">
                        <c:v>108.397113</c:v>
                      </c:pt>
                      <c:pt idx="22">
                        <c:v>101.897245</c:v>
                      </c:pt>
                      <c:pt idx="23">
                        <c:v>120.79994499999999</c:v>
                      </c:pt>
                      <c:pt idx="24">
                        <c:v>116.24860099999999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09'!$E$36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09'!$B$37:$B$61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09'!$E$37:$E$61</c:f>
              <c:numCache>
                <c:formatCode>0.0000000%</c:formatCode>
                <c:ptCount val="25"/>
                <c:pt idx="0">
                  <c:v>1.0787016651859833E-8</c:v>
                </c:pt>
                <c:pt idx="1">
                  <c:v>1.0873980034167121E-8</c:v>
                </c:pt>
                <c:pt idx="2">
                  <c:v>1.5844392691942848E-8</c:v>
                </c:pt>
                <c:pt idx="3">
                  <c:v>1.1929368242581175E-8</c:v>
                </c:pt>
                <c:pt idx="4">
                  <c:v>1.3744132539064089E-8</c:v>
                </c:pt>
                <c:pt idx="5">
                  <c:v>1.0623910881664036E-8</c:v>
                </c:pt>
                <c:pt idx="6">
                  <c:v>1.0215517858238247E-8</c:v>
                </c:pt>
                <c:pt idx="7">
                  <c:v>9.8589417140767566E-9</c:v>
                </c:pt>
                <c:pt idx="8">
                  <c:v>1.1956693701230771E-8</c:v>
                </c:pt>
                <c:pt idx="9">
                  <c:v>7.8848571658670719E-9</c:v>
                </c:pt>
                <c:pt idx="10">
                  <c:v>8.5466840004470073E-9</c:v>
                </c:pt>
                <c:pt idx="11">
                  <c:v>9.0306104269294784E-9</c:v>
                </c:pt>
                <c:pt idx="12">
                  <c:v>7.9084351599893881E-9</c:v>
                </c:pt>
                <c:pt idx="13">
                  <c:v>8.6313209705015344E-9</c:v>
                </c:pt>
                <c:pt idx="14">
                  <c:v>8.0412702051327078E-9</c:v>
                </c:pt>
                <c:pt idx="15">
                  <c:v>1.1102132323786288E-8</c:v>
                </c:pt>
                <c:pt idx="16">
                  <c:v>1.1797885271418745E-8</c:v>
                </c:pt>
                <c:pt idx="17">
                  <c:v>1.2028139758892103E-8</c:v>
                </c:pt>
                <c:pt idx="18">
                  <c:v>1.1679928295169042E-8</c:v>
                </c:pt>
                <c:pt idx="19">
                  <c:v>1.0480870352538985E-8</c:v>
                </c:pt>
                <c:pt idx="20">
                  <c:v>1.6456068342739425E-8</c:v>
                </c:pt>
                <c:pt idx="21">
                  <c:v>2.1911326381476691E-8</c:v>
                </c:pt>
                <c:pt idx="22">
                  <c:v>1.7405052869576398E-8</c:v>
                </c:pt>
                <c:pt idx="23">
                  <c:v>1.9891003672015972E-8</c:v>
                </c:pt>
                <c:pt idx="24">
                  <c:v>1.801378625211577E-8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74152"/>
        <c:axId val="461273760"/>
      </c:lineChart>
      <c:catAx>
        <c:axId val="461272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73368"/>
        <c:crosses val="autoZero"/>
        <c:auto val="1"/>
        <c:lblAlgn val="ctr"/>
        <c:lblOffset val="100"/>
        <c:noMultiLvlLbl val="0"/>
      </c:catAx>
      <c:valAx>
        <c:axId val="46127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72976"/>
        <c:crosses val="autoZero"/>
        <c:crossBetween val="between"/>
      </c:valAx>
      <c:valAx>
        <c:axId val="461273760"/>
        <c:scaling>
          <c:orientation val="minMax"/>
          <c:max val="2.5000000000000012E-8"/>
          <c:min val="0"/>
        </c:scaling>
        <c:delete val="0"/>
        <c:axPos val="r"/>
        <c:numFmt formatCode="0.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74152"/>
        <c:crosses val="max"/>
        <c:crossBetween val="between"/>
        <c:majorUnit val="5.0000000000000026E-9"/>
      </c:valAx>
      <c:catAx>
        <c:axId val="461274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127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00'!$D$67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00'!$B$68:$B$92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00'!$D$68:$D$92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6413704"/>
        <c:axId val="486414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00'!$C$67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00'!$B$68:$B$92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00'!$C$68:$C$92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2540.4969999999998</c:v>
                      </c:pt>
                      <c:pt idx="1">
                        <c:v>4566.83</c:v>
                      </c:pt>
                      <c:pt idx="2">
                        <c:v>5223.7889999999998</c:v>
                      </c:pt>
                      <c:pt idx="3">
                        <c:v>6507.5139999999992</c:v>
                      </c:pt>
                      <c:pt idx="4">
                        <c:v>6083.8649999999998</c:v>
                      </c:pt>
                      <c:pt idx="5">
                        <c:v>7333.5839999999998</c:v>
                      </c:pt>
                      <c:pt idx="6">
                        <c:v>4910.7460000000001</c:v>
                      </c:pt>
                      <c:pt idx="7">
                        <c:v>4482.2569999999996</c:v>
                      </c:pt>
                      <c:pt idx="8">
                        <c:v>5171.7209999999995</c:v>
                      </c:pt>
                      <c:pt idx="9">
                        <c:v>4215.1030000000001</c:v>
                      </c:pt>
                      <c:pt idx="10">
                        <c:v>5415.96</c:v>
                      </c:pt>
                      <c:pt idx="11">
                        <c:v>4732.808</c:v>
                      </c:pt>
                      <c:pt idx="12">
                        <c:v>5663.1210000000001</c:v>
                      </c:pt>
                      <c:pt idx="13">
                        <c:v>4389.7089999999998</c:v>
                      </c:pt>
                      <c:pt idx="14">
                        <c:v>7225.616</c:v>
                      </c:pt>
                      <c:pt idx="15">
                        <c:v>5723.2109999999993</c:v>
                      </c:pt>
                      <c:pt idx="16">
                        <c:v>6859.4070000000002</c:v>
                      </c:pt>
                      <c:pt idx="17">
                        <c:v>6625.7110000000002</c:v>
                      </c:pt>
                      <c:pt idx="18">
                        <c:v>6371.5590000000002</c:v>
                      </c:pt>
                      <c:pt idx="19">
                        <c:v>2417.3989999999999</c:v>
                      </c:pt>
                      <c:pt idx="20">
                        <c:v>2584.27</c:v>
                      </c:pt>
                      <c:pt idx="21">
                        <c:v>2790.105</c:v>
                      </c:pt>
                      <c:pt idx="22">
                        <c:v>3056.1419999999998</c:v>
                      </c:pt>
                      <c:pt idx="23">
                        <c:v>2954.5349999999999</c:v>
                      </c:pt>
                      <c:pt idx="24">
                        <c:v>2854.0149999999999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00'!$E$67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00'!$B$68:$B$92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00'!$E$68:$E$92</c:f>
              <c:numCache>
                <c:formatCode>0.00000%</c:formatCode>
                <c:ptCount val="25"/>
                <c:pt idx="0">
                  <c:v>4.1126147097903816E-5</c:v>
                </c:pt>
                <c:pt idx="1">
                  <c:v>6.2135804236222269E-5</c:v>
                </c:pt>
                <c:pt idx="2">
                  <c:v>4.8222160639453156E-5</c:v>
                </c:pt>
                <c:pt idx="3">
                  <c:v>3.9385136846941964E-5</c:v>
                </c:pt>
                <c:pt idx="4">
                  <c:v>3.1206259486728734E-5</c:v>
                </c:pt>
                <c:pt idx="5">
                  <c:v>2.6686070172844137E-5</c:v>
                </c:pt>
                <c:pt idx="6">
                  <c:v>1.4580562531817764E-5</c:v>
                </c:pt>
                <c:pt idx="7">
                  <c:v>1.2137548942766911E-5</c:v>
                </c:pt>
                <c:pt idx="8">
                  <c:v>1.416931291673233E-5</c:v>
                </c:pt>
                <c:pt idx="9">
                  <c:v>1.2123652481045572E-5</c:v>
                </c:pt>
                <c:pt idx="10">
                  <c:v>1.5969447885285679E-5</c:v>
                </c:pt>
                <c:pt idx="11">
                  <c:v>1.2255834096559486E-5</c:v>
                </c:pt>
                <c:pt idx="12">
                  <c:v>1.3894560328386488E-5</c:v>
                </c:pt>
                <c:pt idx="13">
                  <c:v>9.9578037880454166E-6</c:v>
                </c:pt>
                <c:pt idx="14">
                  <c:v>1.4166558408750183E-5</c:v>
                </c:pt>
                <c:pt idx="15">
                  <c:v>9.8802259686476753E-6</c:v>
                </c:pt>
                <c:pt idx="16">
                  <c:v>1.0858077908473623E-5</c:v>
                </c:pt>
                <c:pt idx="17">
                  <c:v>9.279849469962466E-6</c:v>
                </c:pt>
                <c:pt idx="18">
                  <c:v>7.6957935977677672E-6</c:v>
                </c:pt>
                <c:pt idx="19">
                  <c:v>2.5354010260585715E-6</c:v>
                </c:pt>
                <c:pt idx="20">
                  <c:v>2.8720155746557235E-6</c:v>
                </c:pt>
                <c:pt idx="21">
                  <c:v>2.8199506242195778E-6</c:v>
                </c:pt>
                <c:pt idx="22">
                  <c:v>2.610095743360527E-6</c:v>
                </c:pt>
                <c:pt idx="23">
                  <c:v>2.4324790269606374E-6</c:v>
                </c:pt>
                <c:pt idx="24">
                  <c:v>2.2112789198354394E-6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414880"/>
        <c:axId val="486414488"/>
      </c:lineChart>
      <c:catAx>
        <c:axId val="4864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414096"/>
        <c:crosses val="autoZero"/>
        <c:auto val="1"/>
        <c:lblAlgn val="ctr"/>
        <c:lblOffset val="100"/>
        <c:noMultiLvlLbl val="0"/>
      </c:catAx>
      <c:valAx>
        <c:axId val="48641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413704"/>
        <c:crosses val="autoZero"/>
        <c:crossBetween val="between"/>
      </c:valAx>
      <c:valAx>
        <c:axId val="486414488"/>
        <c:scaling>
          <c:orientation val="minMax"/>
        </c:scaling>
        <c:delete val="0"/>
        <c:axPos val="r"/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414880"/>
        <c:crosses val="max"/>
        <c:crossBetween val="between"/>
      </c:valAx>
      <c:catAx>
        <c:axId val="486414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6414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09'!$D$67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09'!$B$68:$B$92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09'!$D$68:$D$92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274936"/>
        <c:axId val="461275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09'!$C$67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09'!$B$68:$B$92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09'!$C$68:$C$92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4.3739749999999997</c:v>
                      </c:pt>
                      <c:pt idx="1">
                        <c:v>5.581029</c:v>
                      </c:pt>
                      <c:pt idx="2">
                        <c:v>9.8315420000000007</c:v>
                      </c:pt>
                      <c:pt idx="3">
                        <c:v>11.896477000000001</c:v>
                      </c:pt>
                      <c:pt idx="4">
                        <c:v>14.834728999999999</c:v>
                      </c:pt>
                      <c:pt idx="5">
                        <c:v>16.113661</c:v>
                      </c:pt>
                      <c:pt idx="6">
                        <c:v>18.552119000000001</c:v>
                      </c:pt>
                      <c:pt idx="7">
                        <c:v>19.246645999999998</c:v>
                      </c:pt>
                      <c:pt idx="8">
                        <c:v>23.298636000000002</c:v>
                      </c:pt>
                      <c:pt idx="9">
                        <c:v>15.686513999999999</c:v>
                      </c:pt>
                      <c:pt idx="10">
                        <c:v>18.772084</c:v>
                      </c:pt>
                      <c:pt idx="11">
                        <c:v>21.117947999999998</c:v>
                      </c:pt>
                      <c:pt idx="12">
                        <c:v>21.255986999999998</c:v>
                      </c:pt>
                      <c:pt idx="13">
                        <c:v>27.791733000000001</c:v>
                      </c:pt>
                      <c:pt idx="14">
                        <c:v>39.698695000000001</c:v>
                      </c:pt>
                      <c:pt idx="15">
                        <c:v>48.112077999999997</c:v>
                      </c:pt>
                      <c:pt idx="16">
                        <c:v>55.234116</c:v>
                      </c:pt>
                      <c:pt idx="17">
                        <c:v>62.739686000000006</c:v>
                      </c:pt>
                      <c:pt idx="18">
                        <c:v>66.556846000000007</c:v>
                      </c:pt>
                      <c:pt idx="19">
                        <c:v>73.196710999999993</c:v>
                      </c:pt>
                      <c:pt idx="20">
                        <c:v>96.406505999999993</c:v>
                      </c:pt>
                      <c:pt idx="21">
                        <c:v>136.154076</c:v>
                      </c:pt>
                      <c:pt idx="22">
                        <c:v>123.074658</c:v>
                      </c:pt>
                      <c:pt idx="23">
                        <c:v>138.232888</c:v>
                      </c:pt>
                      <c:pt idx="24">
                        <c:v>133.12560999999999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09'!$E$67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09'!$B$68:$B$92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09'!$E$68:$E$92</c:f>
              <c:numCache>
                <c:formatCode>0.000000000%</c:formatCode>
                <c:ptCount val="25"/>
                <c:pt idx="0">
                  <c:v>7.0806908747600901E-10</c:v>
                </c:pt>
                <c:pt idx="1">
                  <c:v>7.5934888178600769E-10</c:v>
                </c:pt>
                <c:pt idx="2">
                  <c:v>9.0757532062939492E-10</c:v>
                </c:pt>
                <c:pt idx="3">
                  <c:v>7.2000517346792904E-10</c:v>
                </c:pt>
                <c:pt idx="4">
                  <c:v>7.6092484397549894E-10</c:v>
                </c:pt>
                <c:pt idx="5">
                  <c:v>5.8635762294046379E-10</c:v>
                </c:pt>
                <c:pt idx="6">
                  <c:v>5.5083348065085108E-10</c:v>
                </c:pt>
                <c:pt idx="7">
                  <c:v>5.2118186844062931E-10</c:v>
                </c:pt>
                <c:pt idx="8">
                  <c:v>6.3832844814529804E-10</c:v>
                </c:pt>
                <c:pt idx="9">
                  <c:v>4.5118196251682598E-10</c:v>
                </c:pt>
                <c:pt idx="10">
                  <c:v>5.5351187441599494E-10</c:v>
                </c:pt>
                <c:pt idx="11">
                  <c:v>5.4685942710494526E-10</c:v>
                </c:pt>
                <c:pt idx="12">
                  <c:v>5.2151913001841017E-10</c:v>
                </c:pt>
                <c:pt idx="13">
                  <c:v>6.3043956705045095E-10</c:v>
                </c:pt>
                <c:pt idx="14">
                  <c:v>7.7833347560769745E-10</c:v>
                </c:pt>
                <c:pt idx="15">
                  <c:v>8.3057955134137552E-10</c:v>
                </c:pt>
                <c:pt idx="16">
                  <c:v>8.743267963741902E-10</c:v>
                </c:pt>
                <c:pt idx="17">
                  <c:v>8.7872055070423625E-10</c:v>
                </c:pt>
                <c:pt idx="18">
                  <c:v>8.0389705146639195E-10</c:v>
                </c:pt>
                <c:pt idx="19">
                  <c:v>7.6769708340870797E-10</c:v>
                </c:pt>
                <c:pt idx="20">
                  <c:v>1.0714088958589483E-9</c:v>
                </c:pt>
                <c:pt idx="21">
                  <c:v>1.3761050985760028E-9</c:v>
                </c:pt>
                <c:pt idx="22">
                  <c:v>1.0511181776283716E-9</c:v>
                </c:pt>
                <c:pt idx="23">
                  <c:v>1.1380762146875863E-9</c:v>
                </c:pt>
                <c:pt idx="24">
                  <c:v>1.0314516745119908E-9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76112"/>
        <c:axId val="461275720"/>
      </c:lineChart>
      <c:catAx>
        <c:axId val="46127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75328"/>
        <c:crosses val="autoZero"/>
        <c:auto val="1"/>
        <c:lblAlgn val="ctr"/>
        <c:lblOffset val="100"/>
        <c:noMultiLvlLbl val="0"/>
      </c:catAx>
      <c:valAx>
        <c:axId val="46127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74936"/>
        <c:crosses val="autoZero"/>
        <c:crossBetween val="between"/>
      </c:valAx>
      <c:valAx>
        <c:axId val="461275720"/>
        <c:scaling>
          <c:orientation val="minMax"/>
          <c:max val="1.5000000000000006E-9"/>
        </c:scaling>
        <c:delete val="0"/>
        <c:axPos val="r"/>
        <c:numFmt formatCode="0.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76112"/>
        <c:crosses val="max"/>
        <c:crossBetween val="between"/>
        <c:majorUnit val="3.000000000000002E-10"/>
      </c:valAx>
      <c:catAx>
        <c:axId val="461276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1275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01'!$B$1</c:f>
              <c:strCache>
                <c:ptCount val="1"/>
                <c:pt idx="0">
                  <c:v>Exportaciones  de Colombia a USA (US$)</c:v>
                </c:pt>
              </c:strCache>
            </c:strRef>
          </c:tx>
          <c:invertIfNegative val="0"/>
          <c:cat>
            <c:numRef>
              <c:f>'Export 01'!$A$2:$A$26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01'!$B$2:$B$26</c:f>
              <c:numCache>
                <c:formatCode>General</c:formatCode>
                <c:ptCount val="25"/>
                <c:pt idx="0">
                  <c:v>4819</c:v>
                </c:pt>
                <c:pt idx="1">
                  <c:v>90909</c:v>
                </c:pt>
                <c:pt idx="2">
                  <c:v>0</c:v>
                </c:pt>
                <c:pt idx="3">
                  <c:v>17090</c:v>
                </c:pt>
                <c:pt idx="4">
                  <c:v>36000</c:v>
                </c:pt>
                <c:pt idx="5">
                  <c:v>47600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4572</c:v>
                </c:pt>
                <c:pt idx="10">
                  <c:v>0</c:v>
                </c:pt>
                <c:pt idx="11">
                  <c:v>97350</c:v>
                </c:pt>
                <c:pt idx="12">
                  <c:v>464569</c:v>
                </c:pt>
                <c:pt idx="13">
                  <c:v>431018</c:v>
                </c:pt>
                <c:pt idx="14">
                  <c:v>55511</c:v>
                </c:pt>
                <c:pt idx="15">
                  <c:v>134778</c:v>
                </c:pt>
                <c:pt idx="16">
                  <c:v>91560</c:v>
                </c:pt>
                <c:pt idx="17">
                  <c:v>285865</c:v>
                </c:pt>
                <c:pt idx="18">
                  <c:v>373110</c:v>
                </c:pt>
                <c:pt idx="19">
                  <c:v>828857</c:v>
                </c:pt>
                <c:pt idx="20">
                  <c:v>1947323</c:v>
                </c:pt>
                <c:pt idx="21">
                  <c:v>2961183</c:v>
                </c:pt>
                <c:pt idx="22">
                  <c:v>2517989</c:v>
                </c:pt>
                <c:pt idx="23">
                  <c:v>3166151</c:v>
                </c:pt>
                <c:pt idx="24">
                  <c:v>1202045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127120"/>
        <c:axId val="495127512"/>
      </c:barChart>
      <c:catAx>
        <c:axId val="49512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27512"/>
        <c:crosses val="autoZero"/>
        <c:auto val="1"/>
        <c:lblAlgn val="ctr"/>
        <c:lblOffset val="100"/>
        <c:noMultiLvlLbl val="0"/>
      </c:catAx>
      <c:valAx>
        <c:axId val="495127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Exportaciones de Animales vivos a Estados Unidos (dólares)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2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01'!$A$2:$A$26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01'!$B$2:$B$26</c:f>
              <c:numCache>
                <c:formatCode>General</c:formatCode>
                <c:ptCount val="25"/>
                <c:pt idx="0">
                  <c:v>2.257082</c:v>
                </c:pt>
                <c:pt idx="1">
                  <c:v>4.602716</c:v>
                </c:pt>
                <c:pt idx="2">
                  <c:v>5.4465870000000001</c:v>
                </c:pt>
                <c:pt idx="3">
                  <c:v>5.1758040000000003</c:v>
                </c:pt>
                <c:pt idx="4">
                  <c:v>19.175875999999999</c:v>
                </c:pt>
                <c:pt idx="5">
                  <c:v>18.612770000000001</c:v>
                </c:pt>
                <c:pt idx="6">
                  <c:v>23.088234</c:v>
                </c:pt>
                <c:pt idx="7">
                  <c:v>28.916785999999998</c:v>
                </c:pt>
                <c:pt idx="8">
                  <c:v>22.478852</c:v>
                </c:pt>
                <c:pt idx="9">
                  <c:v>22.640004999999999</c:v>
                </c:pt>
                <c:pt idx="10">
                  <c:v>23.962071000000002</c:v>
                </c:pt>
                <c:pt idx="11">
                  <c:v>19.855342</c:v>
                </c:pt>
                <c:pt idx="12">
                  <c:v>16.819969</c:v>
                </c:pt>
                <c:pt idx="13">
                  <c:v>9.0787460000000006</c:v>
                </c:pt>
                <c:pt idx="14">
                  <c:v>17.797436000000001</c:v>
                </c:pt>
                <c:pt idx="15">
                  <c:v>17.431228000000001</c:v>
                </c:pt>
                <c:pt idx="16">
                  <c:v>22.134972000000001</c:v>
                </c:pt>
                <c:pt idx="17">
                  <c:v>33.683701999999997</c:v>
                </c:pt>
                <c:pt idx="18">
                  <c:v>29.724412000000001</c:v>
                </c:pt>
                <c:pt idx="19">
                  <c:v>40.214798999999999</c:v>
                </c:pt>
                <c:pt idx="20">
                  <c:v>57.535119999999999</c:v>
                </c:pt>
                <c:pt idx="21">
                  <c:v>81.675417999999993</c:v>
                </c:pt>
                <c:pt idx="22">
                  <c:v>143.85558499999999</c:v>
                </c:pt>
                <c:pt idx="23">
                  <c:v>217.696721</c:v>
                </c:pt>
                <c:pt idx="24">
                  <c:v>167.27712399999999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128296"/>
        <c:axId val="495128688"/>
      </c:lineChart>
      <c:catAx>
        <c:axId val="495128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28688"/>
        <c:crosses val="autoZero"/>
        <c:auto val="1"/>
        <c:lblAlgn val="ctr"/>
        <c:lblOffset val="100"/>
        <c:noMultiLvlLbl val="0"/>
      </c:catAx>
      <c:valAx>
        <c:axId val="495128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Importaciones de Animales vivos a Estados Unidos (millones de dólares)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28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01'!$A$2:$A$26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01'!$B$2:$B$26</c:f>
              <c:numCache>
                <c:formatCode>[$$-409]#,##0.00</c:formatCode>
                <c:ptCount val="25"/>
                <c:pt idx="0">
                  <c:v>-2.2522630000000001</c:v>
                </c:pt>
                <c:pt idx="1">
                  <c:v>-4.5118070000000001</c:v>
                </c:pt>
                <c:pt idx="2">
                  <c:v>0</c:v>
                </c:pt>
                <c:pt idx="3">
                  <c:v>-5.1587140000000007</c:v>
                </c:pt>
                <c:pt idx="4">
                  <c:v>-19.139875999999997</c:v>
                </c:pt>
                <c:pt idx="5">
                  <c:v>-18.565170000000002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-22.635432999999999</c:v>
                </c:pt>
                <c:pt idx="10">
                  <c:v>0</c:v>
                </c:pt>
                <c:pt idx="11">
                  <c:v>-19.757992000000002</c:v>
                </c:pt>
                <c:pt idx="12">
                  <c:v>-16.355399999999999</c:v>
                </c:pt>
                <c:pt idx="13">
                  <c:v>-8.6477280000000007</c:v>
                </c:pt>
                <c:pt idx="14">
                  <c:v>-17.741925000000002</c:v>
                </c:pt>
                <c:pt idx="15">
                  <c:v>-17.29645</c:v>
                </c:pt>
                <c:pt idx="16">
                  <c:v>-22.043412</c:v>
                </c:pt>
                <c:pt idx="17">
                  <c:v>-33.397836999999996</c:v>
                </c:pt>
                <c:pt idx="18">
                  <c:v>-29.351302</c:v>
                </c:pt>
                <c:pt idx="19">
                  <c:v>-39.385942</c:v>
                </c:pt>
                <c:pt idx="20">
                  <c:v>-55.587797000000002</c:v>
                </c:pt>
                <c:pt idx="21">
                  <c:v>-78.714234999999988</c:v>
                </c:pt>
                <c:pt idx="22">
                  <c:v>-141.33759599999999</c:v>
                </c:pt>
                <c:pt idx="23">
                  <c:v>-214.53056999999998</c:v>
                </c:pt>
                <c:pt idx="24">
                  <c:v>-166.07507899999999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129472"/>
        <c:axId val="495129864"/>
      </c:lineChart>
      <c:catAx>
        <c:axId val="49512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29864"/>
        <c:crosses val="autoZero"/>
        <c:auto val="1"/>
        <c:lblAlgn val="ctr"/>
        <c:lblOffset val="100"/>
        <c:noMultiLvlLbl val="0"/>
      </c:catAx>
      <c:valAx>
        <c:axId val="495129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Importaciones de Animales vivos a Estados Unidos (millones de dólares)</a:t>
                </a:r>
              </a:p>
            </c:rich>
          </c:tx>
          <c:overlay val="0"/>
        </c:title>
        <c:numFmt formatCode="[$$-409]#,##0.00" sourceLinked="1"/>
        <c:majorTickMark val="out"/>
        <c:minorTickMark val="none"/>
        <c:tickLblPos val="nextTo"/>
        <c:crossAx val="49512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00'!$A$2:$A$26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00'!$B$2:$B$26</c:f>
              <c:numCache>
                <c:formatCode>General</c:formatCode>
                <c:ptCount val="25"/>
                <c:pt idx="0">
                  <c:v>1806.394</c:v>
                </c:pt>
                <c:pt idx="1">
                  <c:v>3152.6379999999999</c:v>
                </c:pt>
                <c:pt idx="2">
                  <c:v>3215.2869999999998</c:v>
                </c:pt>
                <c:pt idx="3">
                  <c:v>4474.9809999999998</c:v>
                </c:pt>
                <c:pt idx="4">
                  <c:v>3992.277</c:v>
                </c:pt>
                <c:pt idx="5">
                  <c:v>5379.8019999999997</c:v>
                </c:pt>
                <c:pt idx="6">
                  <c:v>3821.105</c:v>
                </c:pt>
                <c:pt idx="7">
                  <c:v>3538.69</c:v>
                </c:pt>
                <c:pt idx="8">
                  <c:v>3328.6469999999999</c:v>
                </c:pt>
                <c:pt idx="9">
                  <c:v>2423.2669999999998</c:v>
                </c:pt>
                <c:pt idx="10">
                  <c:v>3458.69</c:v>
                </c:pt>
                <c:pt idx="11">
                  <c:v>3495.8850000000002</c:v>
                </c:pt>
                <c:pt idx="12">
                  <c:v>4221.4390000000003</c:v>
                </c:pt>
                <c:pt idx="13">
                  <c:v>2268.058</c:v>
                </c:pt>
                <c:pt idx="14">
                  <c:v>3775.5949999999998</c:v>
                </c:pt>
                <c:pt idx="15">
                  <c:v>3769.5279999999998</c:v>
                </c:pt>
                <c:pt idx="16">
                  <c:v>4219.6670000000004</c:v>
                </c:pt>
                <c:pt idx="17">
                  <c:v>4908.3850000000002</c:v>
                </c:pt>
                <c:pt idx="18">
                  <c:v>4795.9279999999999</c:v>
                </c:pt>
                <c:pt idx="19">
                  <c:v>912.50599999999997</c:v>
                </c:pt>
                <c:pt idx="20">
                  <c:v>1611.5440000000001</c:v>
                </c:pt>
                <c:pt idx="21">
                  <c:v>1734.827</c:v>
                </c:pt>
                <c:pt idx="22">
                  <c:v>1652.723</c:v>
                </c:pt>
                <c:pt idx="23">
                  <c:v>1246.8779999999999</c:v>
                </c:pt>
                <c:pt idx="24">
                  <c:v>520.46799999999996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152952"/>
        <c:axId val="503153344"/>
      </c:lineChart>
      <c:catAx>
        <c:axId val="503152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3153344"/>
        <c:crosses val="autoZero"/>
        <c:auto val="1"/>
        <c:lblAlgn val="ctr"/>
        <c:lblOffset val="100"/>
        <c:noMultiLvlLbl val="0"/>
      </c:catAx>
      <c:valAx>
        <c:axId val="503153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Importaciones de Animales vivos a Estados Unidos (miles de dólares)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3152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01'!$C$6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01'!$A$7:$A$31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309344"/>
        <c:axId val="518309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01'!$B$6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01'!$A$7:$A$31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01'!$B$7:$B$31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4819</c:v>
                      </c:pt>
                      <c:pt idx="1">
                        <c:v>90909</c:v>
                      </c:pt>
                      <c:pt idx="2">
                        <c:v>0</c:v>
                      </c:pt>
                      <c:pt idx="3">
                        <c:v>17090</c:v>
                      </c:pt>
                      <c:pt idx="4">
                        <c:v>36000</c:v>
                      </c:pt>
                      <c:pt idx="5">
                        <c:v>47600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4572</c:v>
                      </c:pt>
                      <c:pt idx="10">
                        <c:v>0</c:v>
                      </c:pt>
                      <c:pt idx="11">
                        <c:v>97350</c:v>
                      </c:pt>
                      <c:pt idx="12">
                        <c:v>464569</c:v>
                      </c:pt>
                      <c:pt idx="13">
                        <c:v>431018</c:v>
                      </c:pt>
                      <c:pt idx="14">
                        <c:v>55511</c:v>
                      </c:pt>
                      <c:pt idx="15">
                        <c:v>134778</c:v>
                      </c:pt>
                      <c:pt idx="16">
                        <c:v>91560</c:v>
                      </c:pt>
                      <c:pt idx="17">
                        <c:v>285865</c:v>
                      </c:pt>
                      <c:pt idx="18">
                        <c:v>373110</c:v>
                      </c:pt>
                      <c:pt idx="19">
                        <c:v>828857</c:v>
                      </c:pt>
                      <c:pt idx="20">
                        <c:v>1947323</c:v>
                      </c:pt>
                      <c:pt idx="21">
                        <c:v>2961183</c:v>
                      </c:pt>
                      <c:pt idx="22">
                        <c:v>2517989</c:v>
                      </c:pt>
                      <c:pt idx="23">
                        <c:v>3166151</c:v>
                      </c:pt>
                      <c:pt idx="24">
                        <c:v>1202045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01'!$D$6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01'!$A$7:$A$31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01'!$D$7:$D$31</c:f>
              <c:numCache>
                <c:formatCode>0.00000%</c:formatCode>
                <c:ptCount val="25"/>
                <c:pt idx="0">
                  <c:v>1.1685384149309106E-7</c:v>
                </c:pt>
                <c:pt idx="1">
                  <c:v>1.84475984010286E-6</c:v>
                </c:pt>
                <c:pt idx="2">
                  <c:v>0</c:v>
                </c:pt>
                <c:pt idx="3">
                  <c:v>2.0917097444229461E-7</c:v>
                </c:pt>
                <c:pt idx="4">
                  <c:v>3.8915857062114379E-7</c:v>
                </c:pt>
                <c:pt idx="5">
                  <c:v>4.8991298207877485E-7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4.5771915616411906E-8</c:v>
                </c:pt>
                <c:pt idx="10">
                  <c:v>0</c:v>
                </c:pt>
                <c:pt idx="11">
                  <c:v>9.9404296795620008E-7</c:v>
                </c:pt>
                <c:pt idx="12">
                  <c:v>4.9064904483290321E-6</c:v>
                </c:pt>
                <c:pt idx="13">
                  <c:v>3.6815587880709378E-6</c:v>
                </c:pt>
                <c:pt idx="14">
                  <c:v>3.7874335887340963E-7</c:v>
                </c:pt>
                <c:pt idx="15">
                  <c:v>8.2894322464092019E-7</c:v>
                </c:pt>
                <c:pt idx="16">
                  <c:v>4.4143065939796595E-7</c:v>
                </c:pt>
                <c:pt idx="17">
                  <c:v>1.1716622003397299E-6</c:v>
                </c:pt>
                <c:pt idx="18">
                  <c:v>1.5957032516769149E-6</c:v>
                </c:pt>
                <c:pt idx="19">
                  <c:v>2.8878205088181101E-6</c:v>
                </c:pt>
                <c:pt idx="20">
                  <c:v>5.8057096141574208E-6</c:v>
                </c:pt>
                <c:pt idx="21">
                  <c:v>8.0105648438060032E-6</c:v>
                </c:pt>
                <c:pt idx="22">
                  <c:v>6.6229425722581507E-6</c:v>
                </c:pt>
                <c:pt idx="23">
                  <c:v>8.366852427480442E-6</c:v>
                </c:pt>
                <c:pt idx="24">
                  <c:v>4.1154627482090882E-6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10520"/>
        <c:axId val="518310128"/>
      </c:lineChart>
      <c:catAx>
        <c:axId val="518309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309736"/>
        <c:crosses val="autoZero"/>
        <c:auto val="1"/>
        <c:lblAlgn val="ctr"/>
        <c:lblOffset val="100"/>
        <c:noMultiLvlLbl val="0"/>
      </c:catAx>
      <c:valAx>
        <c:axId val="5183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Millones de 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309344"/>
        <c:crosses val="autoZero"/>
        <c:crossBetween val="between"/>
      </c:valAx>
      <c:valAx>
        <c:axId val="5183101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310520"/>
        <c:crosses val="max"/>
        <c:crossBetween val="between"/>
      </c:valAx>
      <c:catAx>
        <c:axId val="518310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8310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01'!$C$65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01'!$A$66:$A$90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311304"/>
        <c:axId val="5183116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01'!$B$65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Millones)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01'!$A$66:$A$90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01'!$B$66:$B$90</c15:sqref>
                        </c15:formulaRef>
                      </c:ext>
                    </c:extLst>
                    <c:numCache>
                      <c:formatCode>0.000</c:formatCode>
                      <c:ptCount val="25"/>
                      <c:pt idx="0">
                        <c:v>2.257082</c:v>
                      </c:pt>
                      <c:pt idx="1">
                        <c:v>4.602716</c:v>
                      </c:pt>
                      <c:pt idx="2">
                        <c:v>5.4465870000000001</c:v>
                      </c:pt>
                      <c:pt idx="3">
                        <c:v>5.1758040000000003</c:v>
                      </c:pt>
                      <c:pt idx="4">
                        <c:v>19.175875999999999</c:v>
                      </c:pt>
                      <c:pt idx="5">
                        <c:v>18.612770000000001</c:v>
                      </c:pt>
                      <c:pt idx="6">
                        <c:v>23.088234</c:v>
                      </c:pt>
                      <c:pt idx="7">
                        <c:v>28.916785999999998</c:v>
                      </c:pt>
                      <c:pt idx="8">
                        <c:v>22.478852</c:v>
                      </c:pt>
                      <c:pt idx="9">
                        <c:v>22.640004999999999</c:v>
                      </c:pt>
                      <c:pt idx="10">
                        <c:v>23.962071000000002</c:v>
                      </c:pt>
                      <c:pt idx="11">
                        <c:v>19.855342</c:v>
                      </c:pt>
                      <c:pt idx="12">
                        <c:v>16.819969</c:v>
                      </c:pt>
                      <c:pt idx="13">
                        <c:v>9.0787460000000006</c:v>
                      </c:pt>
                      <c:pt idx="14">
                        <c:v>17.797436000000001</c:v>
                      </c:pt>
                      <c:pt idx="15">
                        <c:v>17.431228000000001</c:v>
                      </c:pt>
                      <c:pt idx="16">
                        <c:v>22.134972000000001</c:v>
                      </c:pt>
                      <c:pt idx="17">
                        <c:v>33.683701999999997</c:v>
                      </c:pt>
                      <c:pt idx="18">
                        <c:v>29.724412000000001</c:v>
                      </c:pt>
                      <c:pt idx="19">
                        <c:v>40.214798999999999</c:v>
                      </c:pt>
                      <c:pt idx="20">
                        <c:v>57.535119999999999</c:v>
                      </c:pt>
                      <c:pt idx="21">
                        <c:v>81.675417999999993</c:v>
                      </c:pt>
                      <c:pt idx="22">
                        <c:v>143.85558499999999</c:v>
                      </c:pt>
                      <c:pt idx="23">
                        <c:v>217.696721</c:v>
                      </c:pt>
                      <c:pt idx="24">
                        <c:v>167.27712399999999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01'!$D$65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01'!$A$66:$A$90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01'!$D$66:$D$90</c:f>
              <c:numCache>
                <c:formatCode>0.00000000%</c:formatCode>
                <c:ptCount val="25"/>
                <c:pt idx="0">
                  <c:v>3.6557600910780832E-10</c:v>
                </c:pt>
                <c:pt idx="1">
                  <c:v>7.0385464864047359E-10</c:v>
                </c:pt>
                <c:pt idx="2">
                  <c:v>7.9180262950160199E-10</c:v>
                </c:pt>
                <c:pt idx="3">
                  <c:v>7.0816493369937835E-10</c:v>
                </c:pt>
                <c:pt idx="4">
                  <c:v>2.5020519150424187E-9</c:v>
                </c:pt>
                <c:pt idx="5">
                  <c:v>2.2978158196321303E-9</c:v>
                </c:pt>
                <c:pt idx="6">
                  <c:v>2.6820228576008757E-9</c:v>
                </c:pt>
                <c:pt idx="7">
                  <c:v>3.1814557724095319E-9</c:v>
                </c:pt>
                <c:pt idx="8">
                  <c:v>2.3268530065966754E-9</c:v>
                </c:pt>
                <c:pt idx="9">
                  <c:v>2.2013117637238485E-9</c:v>
                </c:pt>
                <c:pt idx="10">
                  <c:v>2.2559280778894472E-9</c:v>
                </c:pt>
                <c:pt idx="11">
                  <c:v>1.8087284607425689E-9</c:v>
                </c:pt>
                <c:pt idx="12">
                  <c:v>1.4612502139319433E-9</c:v>
                </c:pt>
                <c:pt idx="13">
                  <c:v>7.3961704704092769E-10</c:v>
                </c:pt>
                <c:pt idx="14">
                  <c:v>1.3592338804095946E-9</c:v>
                </c:pt>
                <c:pt idx="15">
                  <c:v>1.2580375938373636E-9</c:v>
                </c:pt>
                <c:pt idx="16">
                  <c:v>1.5289080018939558E-9</c:v>
                </c:pt>
                <c:pt idx="17">
                  <c:v>2.2885154289998857E-9</c:v>
                </c:pt>
                <c:pt idx="18">
                  <c:v>2.0615125913576768E-9</c:v>
                </c:pt>
                <c:pt idx="19">
                  <c:v>2.6873696403698064E-9</c:v>
                </c:pt>
                <c:pt idx="20">
                  <c:v>3.7076552626942546E-9</c:v>
                </c:pt>
                <c:pt idx="21">
                  <c:v>5.055656379301967E-9</c:v>
                </c:pt>
                <c:pt idx="22">
                  <c:v>8.6331515150787719E-9</c:v>
                </c:pt>
                <c:pt idx="23">
                  <c:v>1.2548756269536935E-8</c:v>
                </c:pt>
                <c:pt idx="24">
                  <c:v>9.3206196736211448E-9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12480"/>
        <c:axId val="518312088"/>
      </c:lineChart>
      <c:catAx>
        <c:axId val="518311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311696"/>
        <c:crosses val="autoZero"/>
        <c:auto val="1"/>
        <c:lblAlgn val="ctr"/>
        <c:lblOffset val="100"/>
        <c:noMultiLvlLbl val="0"/>
      </c:catAx>
      <c:valAx>
        <c:axId val="5183116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311304"/>
        <c:crosses val="autoZero"/>
        <c:crossBetween val="between"/>
      </c:valAx>
      <c:valAx>
        <c:axId val="5183120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312480"/>
        <c:crosses val="max"/>
        <c:crossBetween val="between"/>
      </c:valAx>
      <c:catAx>
        <c:axId val="518312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8312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01'!$C$35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01'!$A$36:$A$60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503936"/>
        <c:axId val="455504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01'!$B$35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01'!$A$36:$A$60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01'!$B$36:$B$60</c15:sqref>
                        </c15:formulaRef>
                      </c:ext>
                    </c:extLst>
                    <c:numCache>
                      <c:formatCode>0.000</c:formatCode>
                      <c:ptCount val="25"/>
                      <c:pt idx="0">
                        <c:v>2.257082</c:v>
                      </c:pt>
                      <c:pt idx="1">
                        <c:v>4.602716</c:v>
                      </c:pt>
                      <c:pt idx="2">
                        <c:v>5.4465870000000001</c:v>
                      </c:pt>
                      <c:pt idx="3">
                        <c:v>5.1758040000000003</c:v>
                      </c:pt>
                      <c:pt idx="4">
                        <c:v>19.175875999999999</c:v>
                      </c:pt>
                      <c:pt idx="5">
                        <c:v>18.612770000000001</c:v>
                      </c:pt>
                      <c:pt idx="6">
                        <c:v>23.088234</c:v>
                      </c:pt>
                      <c:pt idx="7">
                        <c:v>28.916785999999998</c:v>
                      </c:pt>
                      <c:pt idx="8">
                        <c:v>22.478852</c:v>
                      </c:pt>
                      <c:pt idx="9">
                        <c:v>22.640004999999999</c:v>
                      </c:pt>
                      <c:pt idx="10">
                        <c:v>23.962071000000002</c:v>
                      </c:pt>
                      <c:pt idx="11">
                        <c:v>19.855342</c:v>
                      </c:pt>
                      <c:pt idx="12">
                        <c:v>16.819969</c:v>
                      </c:pt>
                      <c:pt idx="13">
                        <c:v>9.0787460000000006</c:v>
                      </c:pt>
                      <c:pt idx="14">
                        <c:v>17.797436000000001</c:v>
                      </c:pt>
                      <c:pt idx="15">
                        <c:v>17.431228000000001</c:v>
                      </c:pt>
                      <c:pt idx="16">
                        <c:v>22.134972000000001</c:v>
                      </c:pt>
                      <c:pt idx="17">
                        <c:v>33.683701999999997</c:v>
                      </c:pt>
                      <c:pt idx="18">
                        <c:v>29.724412000000001</c:v>
                      </c:pt>
                      <c:pt idx="19">
                        <c:v>40.214798999999999</c:v>
                      </c:pt>
                      <c:pt idx="20">
                        <c:v>57.535119999999999</c:v>
                      </c:pt>
                      <c:pt idx="21">
                        <c:v>81.675417999999993</c:v>
                      </c:pt>
                      <c:pt idx="22">
                        <c:v>143.85558499999999</c:v>
                      </c:pt>
                      <c:pt idx="23">
                        <c:v>217.696721</c:v>
                      </c:pt>
                      <c:pt idx="24">
                        <c:v>167.27712399999999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01'!$D$35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01'!$A$36:$A$60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01'!$D$36:$D$60</c:f>
              <c:numCache>
                <c:formatCode>0.000000%</c:formatCode>
                <c:ptCount val="25"/>
                <c:pt idx="0">
                  <c:v>5.4731002752626919E-8</c:v>
                </c:pt>
                <c:pt idx="1">
                  <c:v>9.3400055354242986E-8</c:v>
                </c:pt>
                <c:pt idx="2">
                  <c:v>9.7604642909515039E-8</c:v>
                </c:pt>
                <c:pt idx="3">
                  <c:v>6.3348622949229152E-8</c:v>
                </c:pt>
                <c:pt idx="4">
                  <c:v>2.0729045818245266E-7</c:v>
                </c:pt>
                <c:pt idx="5">
                  <c:v>1.9156801797156214E-7</c:v>
                </c:pt>
                <c:pt idx="6">
                  <c:v>2.1646672144685829E-7</c:v>
                </c:pt>
                <c:pt idx="7">
                  <c:v>2.9373919624267163E-7</c:v>
                </c:pt>
                <c:pt idx="8">
                  <c:v>2.6081743160215983E-7</c:v>
                </c:pt>
                <c:pt idx="9">
                  <c:v>2.2665713001206112E-7</c:v>
                </c:pt>
                <c:pt idx="10">
                  <c:v>2.4400413456026261E-7</c:v>
                </c:pt>
                <c:pt idx="11">
                  <c:v>2.0274332913677857E-7</c:v>
                </c:pt>
                <c:pt idx="12">
                  <c:v>1.7764210965365842E-7</c:v>
                </c:pt>
                <c:pt idx="13">
                  <c:v>7.7546499498777027E-8</c:v>
                </c:pt>
                <c:pt idx="14">
                  <c:v>1.2142927870105997E-7</c:v>
                </c:pt>
                <c:pt idx="15">
                  <c:v>1.0720962136083856E-7</c:v>
                </c:pt>
                <c:pt idx="16">
                  <c:v>1.067175107657876E-7</c:v>
                </c:pt>
                <c:pt idx="17">
                  <c:v>1.3805789586310939E-7</c:v>
                </c:pt>
                <c:pt idx="18">
                  <c:v>1.2712428206851682E-7</c:v>
                </c:pt>
                <c:pt idx="19">
                  <c:v>1.401123731960978E-7</c:v>
                </c:pt>
                <c:pt idx="20">
                  <c:v>1.7153404922331883E-7</c:v>
                </c:pt>
                <c:pt idx="21">
                  <c:v>2.2094758481119202E-7</c:v>
                </c:pt>
                <c:pt idx="22">
                  <c:v>3.7837626699465362E-7</c:v>
                </c:pt>
                <c:pt idx="23">
                  <c:v>5.7528410317555378E-7</c:v>
                </c:pt>
                <c:pt idx="24">
                  <c:v>5.7270965101102911E-7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05112"/>
        <c:axId val="455504720"/>
      </c:lineChart>
      <c:catAx>
        <c:axId val="45550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504328"/>
        <c:crosses val="autoZero"/>
        <c:auto val="1"/>
        <c:lblAlgn val="ctr"/>
        <c:lblOffset val="100"/>
        <c:noMultiLvlLbl val="0"/>
      </c:catAx>
      <c:valAx>
        <c:axId val="45550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Millones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503936"/>
        <c:crosses val="autoZero"/>
        <c:crossBetween val="between"/>
      </c:valAx>
      <c:valAx>
        <c:axId val="4555047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505112"/>
        <c:crosses val="max"/>
        <c:crossBetween val="between"/>
      </c:valAx>
      <c:catAx>
        <c:axId val="455505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5504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01'!$C$95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01'!$A$96:$A$120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505896"/>
        <c:axId val="4555062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01'!$B$95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a Colombia (US$)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01'!$A$96:$A$120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01'!$B$96:$B$120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4819</c:v>
                      </c:pt>
                      <c:pt idx="1">
                        <c:v>90909</c:v>
                      </c:pt>
                      <c:pt idx="2">
                        <c:v>0</c:v>
                      </c:pt>
                      <c:pt idx="3">
                        <c:v>17090</c:v>
                      </c:pt>
                      <c:pt idx="4">
                        <c:v>36000</c:v>
                      </c:pt>
                      <c:pt idx="5">
                        <c:v>47600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4572</c:v>
                      </c:pt>
                      <c:pt idx="10">
                        <c:v>0</c:v>
                      </c:pt>
                      <c:pt idx="11">
                        <c:v>97350</c:v>
                      </c:pt>
                      <c:pt idx="12">
                        <c:v>464569</c:v>
                      </c:pt>
                      <c:pt idx="13">
                        <c:v>431018</c:v>
                      </c:pt>
                      <c:pt idx="14">
                        <c:v>55511</c:v>
                      </c:pt>
                      <c:pt idx="15">
                        <c:v>134778</c:v>
                      </c:pt>
                      <c:pt idx="16">
                        <c:v>91560</c:v>
                      </c:pt>
                      <c:pt idx="17">
                        <c:v>285865</c:v>
                      </c:pt>
                      <c:pt idx="18">
                        <c:v>373110</c:v>
                      </c:pt>
                      <c:pt idx="19">
                        <c:v>828857</c:v>
                      </c:pt>
                      <c:pt idx="20">
                        <c:v>1947323</c:v>
                      </c:pt>
                      <c:pt idx="21">
                        <c:v>2961183</c:v>
                      </c:pt>
                      <c:pt idx="22">
                        <c:v>2517989</c:v>
                      </c:pt>
                      <c:pt idx="23">
                        <c:v>3166151</c:v>
                      </c:pt>
                      <c:pt idx="24">
                        <c:v>1202045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01'!$D$95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01'!$A$96:$A$120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01'!$D$96:$D$120</c:f>
              <c:numCache>
                <c:formatCode>0.000000000%</c:formatCode>
                <c:ptCount val="25"/>
                <c:pt idx="0">
                  <c:v>7.8052582400219757E-10</c:v>
                </c:pt>
                <c:pt idx="1">
                  <c:v>1.3901948817449701E-8</c:v>
                </c:pt>
                <c:pt idx="2">
                  <c:v>0</c:v>
                </c:pt>
                <c:pt idx="3">
                  <c:v>2.3382915421299525E-9</c:v>
                </c:pt>
                <c:pt idx="4">
                  <c:v>4.6972492386541854E-9</c:v>
                </c:pt>
                <c:pt idx="5">
                  <c:v>5.8763973881635774E-9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4.4454042230756731E-10</c:v>
                </c:pt>
                <c:pt idx="10">
                  <c:v>0</c:v>
                </c:pt>
                <c:pt idx="11">
                  <c:v>8.8681280661541399E-9</c:v>
                </c:pt>
                <c:pt idx="12">
                  <c:v>4.0359857419246663E-8</c:v>
                </c:pt>
                <c:pt idx="13">
                  <c:v>3.5113688650556646E-8</c:v>
                </c:pt>
                <c:pt idx="14">
                  <c:v>4.2395113507033823E-9</c:v>
                </c:pt>
                <c:pt idx="15">
                  <c:v>9.7271282793278925E-9</c:v>
                </c:pt>
                <c:pt idx="16">
                  <c:v>6.3242373495394792E-9</c:v>
                </c:pt>
                <c:pt idx="17">
                  <c:v>1.9422047585834015E-8</c:v>
                </c:pt>
                <c:pt idx="18">
                  <c:v>2.587674275815659E-8</c:v>
                </c:pt>
                <c:pt idx="19">
                  <c:v>5.5388692555892094E-8</c:v>
                </c:pt>
                <c:pt idx="20">
                  <c:v>1.2548861233131285E-7</c:v>
                </c:pt>
                <c:pt idx="21">
                  <c:v>1.8329534259904904E-7</c:v>
                </c:pt>
                <c:pt idx="22">
                  <c:v>1.5111113378254784E-7</c:v>
                </c:pt>
                <c:pt idx="23">
                  <c:v>1.8250737553162611E-7</c:v>
                </c:pt>
                <c:pt idx="24">
                  <c:v>6.6977504201817399E-8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07072"/>
        <c:axId val="455506680"/>
      </c:lineChart>
      <c:catAx>
        <c:axId val="455505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506288"/>
        <c:crosses val="autoZero"/>
        <c:auto val="1"/>
        <c:lblAlgn val="ctr"/>
        <c:lblOffset val="100"/>
        <c:noMultiLvlLbl val="0"/>
      </c:catAx>
      <c:valAx>
        <c:axId val="45550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505896"/>
        <c:crosses val="autoZero"/>
        <c:crossBetween val="between"/>
      </c:valAx>
      <c:valAx>
        <c:axId val="455506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507072"/>
        <c:crosses val="max"/>
        <c:crossBetween val="between"/>
      </c:valAx>
      <c:catAx>
        <c:axId val="455507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5506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01'!$C$124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01'!$A$125:$A$149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904272"/>
        <c:axId val="4049046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01'!$B$124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01'!$A$125:$A$149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01'!$B$125:$B$149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2.257086819</c:v>
                      </c:pt>
                      <c:pt idx="1">
                        <c:v>4.6028069089999999</c:v>
                      </c:pt>
                      <c:pt idx="2">
                        <c:v>0</c:v>
                      </c:pt>
                      <c:pt idx="3">
                        <c:v>5.1758210900000003</c:v>
                      </c:pt>
                      <c:pt idx="4">
                        <c:v>19.175912</c:v>
                      </c:pt>
                      <c:pt idx="5">
                        <c:v>18.6128176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22.640009572</c:v>
                      </c:pt>
                      <c:pt idx="10">
                        <c:v>0</c:v>
                      </c:pt>
                      <c:pt idx="11">
                        <c:v>19.855439350000001</c:v>
                      </c:pt>
                      <c:pt idx="12">
                        <c:v>16.820433568999999</c:v>
                      </c:pt>
                      <c:pt idx="13">
                        <c:v>9.0791770180000011</c:v>
                      </c:pt>
                      <c:pt idx="14">
                        <c:v>17.797491511</c:v>
                      </c:pt>
                      <c:pt idx="15">
                        <c:v>17.431362778</c:v>
                      </c:pt>
                      <c:pt idx="16">
                        <c:v>22.135063560000003</c:v>
                      </c:pt>
                      <c:pt idx="17">
                        <c:v>33.683987864999999</c:v>
                      </c:pt>
                      <c:pt idx="18">
                        <c:v>29.724785110000003</c:v>
                      </c:pt>
                      <c:pt idx="19">
                        <c:v>40.215627857000001</c:v>
                      </c:pt>
                      <c:pt idx="20">
                        <c:v>57.537067323000002</c:v>
                      </c:pt>
                      <c:pt idx="21">
                        <c:v>81.67837918299999</c:v>
                      </c:pt>
                      <c:pt idx="22">
                        <c:v>143.858102989</c:v>
                      </c:pt>
                      <c:pt idx="23">
                        <c:v>217.69988715099998</c:v>
                      </c:pt>
                      <c:pt idx="24">
                        <c:v>167.278326045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01'!$D$124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01'!$A$125:$A$149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01'!$D$125:$D$149</c:f>
              <c:numCache>
                <c:formatCode>0.0000000000%</c:formatCode>
                <c:ptCount val="25"/>
                <c:pt idx="0">
                  <c:v>5.4731119606468378E-12</c:v>
                </c:pt>
                <c:pt idx="1">
                  <c:v>9.3401900114083086E-12</c:v>
                </c:pt>
                <c:pt idx="2">
                  <c:v>0</c:v>
                </c:pt>
                <c:pt idx="3">
                  <c:v>6.3348832120203596E-12</c:v>
                </c:pt>
                <c:pt idx="4">
                  <c:v>2.0729084734102331E-11</c:v>
                </c:pt>
                <c:pt idx="5">
                  <c:v>1.9156850788454419E-11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2.2665717578397678E-11</c:v>
                </c:pt>
                <c:pt idx="10">
                  <c:v>0</c:v>
                </c:pt>
                <c:pt idx="11">
                  <c:v>2.0274432317974642E-11</c:v>
                </c:pt>
                <c:pt idx="12">
                  <c:v>1.7764701614410671E-11</c:v>
                </c:pt>
                <c:pt idx="13">
                  <c:v>7.7550181057565106E-12</c:v>
                </c:pt>
                <c:pt idx="14">
                  <c:v>1.2142965744441885E-11</c:v>
                </c:pt>
                <c:pt idx="15">
                  <c:v>1.0721045030406319E-11</c:v>
                </c:pt>
                <c:pt idx="16">
                  <c:v>1.0671795219644701E-11</c:v>
                </c:pt>
                <c:pt idx="17">
                  <c:v>1.3805906752530973E-11</c:v>
                </c:pt>
                <c:pt idx="18">
                  <c:v>1.2712587777176851E-11</c:v>
                </c:pt>
                <c:pt idx="19">
                  <c:v>1.4011526101660661E-11</c:v>
                </c:pt>
                <c:pt idx="20">
                  <c:v>1.7153985493293301E-11</c:v>
                </c:pt>
                <c:pt idx="21">
                  <c:v>2.2095559537603584E-11</c:v>
                </c:pt>
                <c:pt idx="22">
                  <c:v>3.7838288993722594E-11</c:v>
                </c:pt>
                <c:pt idx="23">
                  <c:v>5.7529247002798118E-11</c:v>
                </c:pt>
                <c:pt idx="24">
                  <c:v>5.7271376647377732E-11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05448"/>
        <c:axId val="404905056"/>
      </c:lineChart>
      <c:catAx>
        <c:axId val="404904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04664"/>
        <c:crosses val="autoZero"/>
        <c:auto val="1"/>
        <c:lblAlgn val="ctr"/>
        <c:lblOffset val="100"/>
        <c:noMultiLvlLbl val="0"/>
      </c:catAx>
      <c:valAx>
        <c:axId val="404904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04272"/>
        <c:crosses val="autoZero"/>
        <c:crossBetween val="between"/>
        <c:majorUnit val="80000"/>
      </c:valAx>
      <c:valAx>
        <c:axId val="404905056"/>
        <c:scaling>
          <c:orientation val="minMax"/>
          <c:max val="1.0000000000000006E-1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05448"/>
        <c:crosses val="max"/>
        <c:crossBetween val="between"/>
        <c:majorUnit val="2.0000000000000012E-11"/>
      </c:valAx>
      <c:catAx>
        <c:axId val="404905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4905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01'!$C$153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01'!$A$154:$A$178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906232"/>
        <c:axId val="404906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01'!$B$153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01'!$A$154:$A$178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01'!$B$154:$B$178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2.257086819</c:v>
                      </c:pt>
                      <c:pt idx="1">
                        <c:v>4.6028069089999999</c:v>
                      </c:pt>
                      <c:pt idx="2">
                        <c:v>0</c:v>
                      </c:pt>
                      <c:pt idx="3">
                        <c:v>5.1758210900000003</c:v>
                      </c:pt>
                      <c:pt idx="4">
                        <c:v>19.175912</c:v>
                      </c:pt>
                      <c:pt idx="5">
                        <c:v>18.6128176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22.640009572</c:v>
                      </c:pt>
                      <c:pt idx="10">
                        <c:v>0</c:v>
                      </c:pt>
                      <c:pt idx="11">
                        <c:v>19.855439350000001</c:v>
                      </c:pt>
                      <c:pt idx="12">
                        <c:v>16.820433568999999</c:v>
                      </c:pt>
                      <c:pt idx="13">
                        <c:v>9.0791770180000011</c:v>
                      </c:pt>
                      <c:pt idx="14">
                        <c:v>17.797491511</c:v>
                      </c:pt>
                      <c:pt idx="15">
                        <c:v>17.431362778</c:v>
                      </c:pt>
                      <c:pt idx="16">
                        <c:v>22.135063560000003</c:v>
                      </c:pt>
                      <c:pt idx="17">
                        <c:v>33.683987864999999</c:v>
                      </c:pt>
                      <c:pt idx="18">
                        <c:v>29.724785110000003</c:v>
                      </c:pt>
                      <c:pt idx="19">
                        <c:v>40.215627857000001</c:v>
                      </c:pt>
                      <c:pt idx="20">
                        <c:v>57.537067323000002</c:v>
                      </c:pt>
                      <c:pt idx="21">
                        <c:v>81.67837918299999</c:v>
                      </c:pt>
                      <c:pt idx="22">
                        <c:v>143.858102989</c:v>
                      </c:pt>
                      <c:pt idx="23">
                        <c:v>217.69988715099998</c:v>
                      </c:pt>
                      <c:pt idx="24">
                        <c:v>167.278326045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01'!$D$153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01'!$A$154:$A$178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01'!$D$154:$D$178</c:f>
              <c:numCache>
                <c:formatCode>0.00000000000%</c:formatCode>
                <c:ptCount val="25"/>
                <c:pt idx="0" formatCode="0.000000000000%">
                  <c:v>3.6557678963363227E-13</c:v>
                </c:pt>
                <c:pt idx="1">
                  <c:v>7.0386855058929104E-13</c:v>
                </c:pt>
                <c:pt idx="2">
                  <c:v>0</c:v>
                </c:pt>
                <c:pt idx="3">
                  <c:v>7.0816727199092054E-13</c:v>
                </c:pt>
                <c:pt idx="4">
                  <c:v>2.5020566122916575E-12</c:v>
                </c:pt>
                <c:pt idx="5">
                  <c:v>2.2978216960295183E-12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2.2013122082642707E-12</c:v>
                </c:pt>
                <c:pt idx="10">
                  <c:v>0</c:v>
                </c:pt>
                <c:pt idx="11">
                  <c:v>1.8087373288706353E-12</c:v>
                </c:pt>
                <c:pt idx="12">
                  <c:v>1.4612905737893623E-12</c:v>
                </c:pt>
                <c:pt idx="13">
                  <c:v>7.3965216072957835E-13</c:v>
                </c:pt>
                <c:pt idx="14">
                  <c:v>1.3592381199209453E-12</c:v>
                </c:pt>
                <c:pt idx="15">
                  <c:v>1.258047320965643E-12</c:v>
                </c:pt>
                <c:pt idx="16">
                  <c:v>1.5289143261313055E-12</c:v>
                </c:pt>
                <c:pt idx="17">
                  <c:v>2.2885348510474717E-12</c:v>
                </c:pt>
                <c:pt idx="18">
                  <c:v>2.0615384681004357E-12</c:v>
                </c:pt>
                <c:pt idx="19">
                  <c:v>2.6874250290623627E-12</c:v>
                </c:pt>
                <c:pt idx="20">
                  <c:v>3.7077807513065861E-12</c:v>
                </c:pt>
                <c:pt idx="21">
                  <c:v>5.055839674644565E-12</c:v>
                </c:pt>
                <c:pt idx="22">
                  <c:v>8.6333026262125542E-12</c:v>
                </c:pt>
                <c:pt idx="23">
                  <c:v>1.2548938776912466E-11</c:v>
                </c:pt>
                <c:pt idx="24">
                  <c:v>9.3206866511253473E-12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07408"/>
        <c:axId val="404907016"/>
      </c:lineChart>
      <c:catAx>
        <c:axId val="40490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06624"/>
        <c:crosses val="autoZero"/>
        <c:auto val="1"/>
        <c:lblAlgn val="ctr"/>
        <c:lblOffset val="100"/>
        <c:noMultiLvlLbl val="0"/>
      </c:catAx>
      <c:valAx>
        <c:axId val="40490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06232"/>
        <c:crosses val="autoZero"/>
        <c:crossBetween val="between"/>
        <c:majorUnit val="4000"/>
      </c:valAx>
      <c:valAx>
        <c:axId val="4049070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07408"/>
        <c:crosses val="max"/>
        <c:crossBetween val="between"/>
      </c:valAx>
      <c:catAx>
        <c:axId val="404907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4907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01'!$D$183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01'!$A$184:$A$208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908192"/>
        <c:axId val="404908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01'!$B$183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01'!$A$184:$A$208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01'!$B$184:$B$208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2.257086819</c:v>
                      </c:pt>
                      <c:pt idx="1">
                        <c:v>4.6028069089999999</c:v>
                      </c:pt>
                      <c:pt idx="2">
                        <c:v>0</c:v>
                      </c:pt>
                      <c:pt idx="3">
                        <c:v>5.1758210900000003</c:v>
                      </c:pt>
                      <c:pt idx="4">
                        <c:v>19.175912</c:v>
                      </c:pt>
                      <c:pt idx="5">
                        <c:v>18.6128176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22.640009572</c:v>
                      </c:pt>
                      <c:pt idx="10">
                        <c:v>0</c:v>
                      </c:pt>
                      <c:pt idx="11">
                        <c:v>19.855439350000001</c:v>
                      </c:pt>
                      <c:pt idx="12">
                        <c:v>16.820433568999999</c:v>
                      </c:pt>
                      <c:pt idx="13">
                        <c:v>9.0791770180000011</c:v>
                      </c:pt>
                      <c:pt idx="14">
                        <c:v>17.797491511</c:v>
                      </c:pt>
                      <c:pt idx="15">
                        <c:v>17.431362778</c:v>
                      </c:pt>
                      <c:pt idx="16">
                        <c:v>22.135063560000003</c:v>
                      </c:pt>
                      <c:pt idx="17">
                        <c:v>33.683987864999999</c:v>
                      </c:pt>
                      <c:pt idx="18">
                        <c:v>29.724785110000003</c:v>
                      </c:pt>
                      <c:pt idx="19">
                        <c:v>40.215627857000001</c:v>
                      </c:pt>
                      <c:pt idx="20">
                        <c:v>57.537067323000002</c:v>
                      </c:pt>
                      <c:pt idx="21">
                        <c:v>81.67837918299999</c:v>
                      </c:pt>
                      <c:pt idx="22">
                        <c:v>143.858102989</c:v>
                      </c:pt>
                      <c:pt idx="23">
                        <c:v>217.69988715099998</c:v>
                      </c:pt>
                      <c:pt idx="24">
                        <c:v>167.278326045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01'!$C$183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01'!$A$184:$A$208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01'!$C$184:$C$208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1.1285434095</c:v>
                      </c:pt>
                      <c:pt idx="1">
                        <c:v>2.3014034544999999</c:v>
                      </c:pt>
                      <c:pt idx="2">
                        <c:v>0</c:v>
                      </c:pt>
                      <c:pt idx="3">
                        <c:v>2.5879105450000002</c:v>
                      </c:pt>
                      <c:pt idx="4">
                        <c:v>9.5879560000000001</c:v>
                      </c:pt>
                      <c:pt idx="5">
                        <c:v>9.3064087999999998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11.320004786</c:v>
                      </c:pt>
                      <c:pt idx="10">
                        <c:v>0</c:v>
                      </c:pt>
                      <c:pt idx="11">
                        <c:v>9.9277196750000005</c:v>
                      </c:pt>
                      <c:pt idx="12">
                        <c:v>8.4102167844999993</c:v>
                      </c:pt>
                      <c:pt idx="13">
                        <c:v>4.5395885090000005</c:v>
                      </c:pt>
                      <c:pt idx="14">
                        <c:v>8.8987457555000002</c:v>
                      </c:pt>
                      <c:pt idx="15">
                        <c:v>8.7156813890000002</c:v>
                      </c:pt>
                      <c:pt idx="16">
                        <c:v>11.067531780000001</c:v>
                      </c:pt>
                      <c:pt idx="17">
                        <c:v>16.841993932499999</c:v>
                      </c:pt>
                      <c:pt idx="18">
                        <c:v>14.862392555000001</c:v>
                      </c:pt>
                      <c:pt idx="19">
                        <c:v>20.107813928500001</c:v>
                      </c:pt>
                      <c:pt idx="20">
                        <c:v>28.768533661500001</c:v>
                      </c:pt>
                      <c:pt idx="21">
                        <c:v>40.839189591499995</c:v>
                      </c:pt>
                      <c:pt idx="22">
                        <c:v>71.929051494500001</c:v>
                      </c:pt>
                      <c:pt idx="23">
                        <c:v>108.84994357549999</c:v>
                      </c:pt>
                      <c:pt idx="24">
                        <c:v>83.6391630225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01'!$E$183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01'!$A$184:$A$208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01'!$E$184:$E$208</c:f>
              <c:numCache>
                <c:formatCode>0.000000000%</c:formatCode>
                <c:ptCount val="25"/>
                <c:pt idx="0">
                  <c:v>2.7365559803234186E-11</c:v>
                </c:pt>
                <c:pt idx="1">
                  <c:v>4.6700950057041545E-11</c:v>
                </c:pt>
                <c:pt idx="2">
                  <c:v>0</c:v>
                </c:pt>
                <c:pt idx="3">
                  <c:v>3.1674416060101801E-11</c:v>
                </c:pt>
                <c:pt idx="4">
                  <c:v>1.0364542367051165E-10</c:v>
                </c:pt>
                <c:pt idx="5">
                  <c:v>9.5784253942272103E-11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1.1332858789198838E-10</c:v>
                </c:pt>
                <c:pt idx="10">
                  <c:v>0</c:v>
                </c:pt>
                <c:pt idx="11">
                  <c:v>1.0137216158987322E-10</c:v>
                </c:pt>
                <c:pt idx="12">
                  <c:v>8.8823508072053356E-11</c:v>
                </c:pt>
                <c:pt idx="13">
                  <c:v>3.8775090528782551E-11</c:v>
                </c:pt>
                <c:pt idx="14">
                  <c:v>6.0714828722209426E-11</c:v>
                </c:pt>
                <c:pt idx="15">
                  <c:v>5.3605225152031595E-11</c:v>
                </c:pt>
                <c:pt idx="16">
                  <c:v>5.3358976098223504E-11</c:v>
                </c:pt>
                <c:pt idx="17">
                  <c:v>6.9029533762654865E-11</c:v>
                </c:pt>
                <c:pt idx="18">
                  <c:v>6.3562938885884252E-11</c:v>
                </c:pt>
                <c:pt idx="19">
                  <c:v>7.0057630508303304E-11</c:v>
                </c:pt>
                <c:pt idx="20">
                  <c:v>8.5769927466466503E-11</c:v>
                </c:pt>
                <c:pt idx="21">
                  <c:v>1.104777976880179E-10</c:v>
                </c:pt>
                <c:pt idx="22">
                  <c:v>1.8919144496861299E-10</c:v>
                </c:pt>
                <c:pt idx="23">
                  <c:v>2.8764623501399059E-10</c:v>
                </c:pt>
                <c:pt idx="24">
                  <c:v>2.8635688323688868E-10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09368"/>
        <c:axId val="404908976"/>
      </c:lineChart>
      <c:catAx>
        <c:axId val="404908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08584"/>
        <c:crosses val="autoZero"/>
        <c:auto val="1"/>
        <c:lblAlgn val="ctr"/>
        <c:lblOffset val="100"/>
        <c:noMultiLvlLbl val="0"/>
      </c:catAx>
      <c:valAx>
        <c:axId val="40490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08192"/>
        <c:crosses val="autoZero"/>
        <c:crossBetween val="between"/>
        <c:majorUnit val="80000"/>
      </c:valAx>
      <c:valAx>
        <c:axId val="404908976"/>
        <c:scaling>
          <c:orientation val="minMax"/>
          <c:max val="3.0000000000000015E-10"/>
          <c:min val="0"/>
        </c:scaling>
        <c:delete val="0"/>
        <c:axPos val="r"/>
        <c:numFmt formatCode="0.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09368"/>
        <c:crosses val="max"/>
        <c:crossBetween val="between"/>
        <c:majorUnit val="6.0000000000000038E-11"/>
      </c:valAx>
      <c:catAx>
        <c:axId val="404909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4908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01'!$D$212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01'!$A$213:$A$237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910152"/>
        <c:axId val="404910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01'!$B$212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01'!$A$213:$A$237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01'!$B$213:$B$237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2.257086819</c:v>
                      </c:pt>
                      <c:pt idx="1">
                        <c:v>4.6028069089999999</c:v>
                      </c:pt>
                      <c:pt idx="2">
                        <c:v>0</c:v>
                      </c:pt>
                      <c:pt idx="3">
                        <c:v>5.1758210900000003</c:v>
                      </c:pt>
                      <c:pt idx="4">
                        <c:v>19.175912</c:v>
                      </c:pt>
                      <c:pt idx="5">
                        <c:v>18.6128176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22.640009572</c:v>
                      </c:pt>
                      <c:pt idx="10">
                        <c:v>0</c:v>
                      </c:pt>
                      <c:pt idx="11">
                        <c:v>19.855439350000001</c:v>
                      </c:pt>
                      <c:pt idx="12">
                        <c:v>16.820433568999999</c:v>
                      </c:pt>
                      <c:pt idx="13">
                        <c:v>9.0791770180000011</c:v>
                      </c:pt>
                      <c:pt idx="14">
                        <c:v>17.797491511</c:v>
                      </c:pt>
                      <c:pt idx="15">
                        <c:v>17.431362778</c:v>
                      </c:pt>
                      <c:pt idx="16">
                        <c:v>22.135063560000003</c:v>
                      </c:pt>
                      <c:pt idx="17">
                        <c:v>33.683987864999999</c:v>
                      </c:pt>
                      <c:pt idx="18">
                        <c:v>29.724785110000003</c:v>
                      </c:pt>
                      <c:pt idx="19">
                        <c:v>40.215627857000001</c:v>
                      </c:pt>
                      <c:pt idx="20">
                        <c:v>57.537067323000002</c:v>
                      </c:pt>
                      <c:pt idx="21">
                        <c:v>81.67837918299999</c:v>
                      </c:pt>
                      <c:pt idx="22">
                        <c:v>143.858102989</c:v>
                      </c:pt>
                      <c:pt idx="23">
                        <c:v>217.69988715099998</c:v>
                      </c:pt>
                      <c:pt idx="24">
                        <c:v>167.278326045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01'!$C$212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01'!$A$213:$A$237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01'!$C$213:$C$237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1.1285434095</c:v>
                      </c:pt>
                      <c:pt idx="1">
                        <c:v>2.3014034544999999</c:v>
                      </c:pt>
                      <c:pt idx="2">
                        <c:v>0</c:v>
                      </c:pt>
                      <c:pt idx="3">
                        <c:v>2.5879105450000002</c:v>
                      </c:pt>
                      <c:pt idx="4">
                        <c:v>9.5879560000000001</c:v>
                      </c:pt>
                      <c:pt idx="5">
                        <c:v>9.3064087999999998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11.320004786</c:v>
                      </c:pt>
                      <c:pt idx="10">
                        <c:v>0</c:v>
                      </c:pt>
                      <c:pt idx="11">
                        <c:v>9.9277196750000005</c:v>
                      </c:pt>
                      <c:pt idx="12">
                        <c:v>8.4102167844999993</c:v>
                      </c:pt>
                      <c:pt idx="13">
                        <c:v>4.5395885090000005</c:v>
                      </c:pt>
                      <c:pt idx="14">
                        <c:v>8.8987457555000002</c:v>
                      </c:pt>
                      <c:pt idx="15">
                        <c:v>8.7156813890000002</c:v>
                      </c:pt>
                      <c:pt idx="16">
                        <c:v>11.067531780000001</c:v>
                      </c:pt>
                      <c:pt idx="17">
                        <c:v>16.841993932499999</c:v>
                      </c:pt>
                      <c:pt idx="18">
                        <c:v>14.862392555000001</c:v>
                      </c:pt>
                      <c:pt idx="19">
                        <c:v>20.107813928500001</c:v>
                      </c:pt>
                      <c:pt idx="20">
                        <c:v>28.768533661500001</c:v>
                      </c:pt>
                      <c:pt idx="21">
                        <c:v>40.839189591499995</c:v>
                      </c:pt>
                      <c:pt idx="22">
                        <c:v>71.929051494500001</c:v>
                      </c:pt>
                      <c:pt idx="23">
                        <c:v>108.84994357549999</c:v>
                      </c:pt>
                      <c:pt idx="24">
                        <c:v>83.6391630225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01'!$E$212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01'!$A$213:$A$237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01'!$E$213:$E$237</c:f>
              <c:numCache>
                <c:formatCode>0.00000000%</c:formatCode>
                <c:ptCount val="25"/>
                <c:pt idx="0">
                  <c:v>1.8278839481681616E-10</c:v>
                </c:pt>
                <c:pt idx="1">
                  <c:v>3.5193427529464552E-10</c:v>
                </c:pt>
                <c:pt idx="2">
                  <c:v>0</c:v>
                </c:pt>
                <c:pt idx="3">
                  <c:v>3.5408363599546026E-10</c:v>
                </c:pt>
                <c:pt idx="4">
                  <c:v>1.2510283061458287E-9</c:v>
                </c:pt>
                <c:pt idx="5">
                  <c:v>1.1489108480147591E-9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1.1006561041321355E-9</c:v>
                </c:pt>
                <c:pt idx="10">
                  <c:v>0</c:v>
                </c:pt>
                <c:pt idx="11">
                  <c:v>9.0436866443531761E-10</c:v>
                </c:pt>
                <c:pt idx="12">
                  <c:v>7.3064528689468112E-10</c:v>
                </c:pt>
                <c:pt idx="13">
                  <c:v>3.6982608036478915E-10</c:v>
                </c:pt>
                <c:pt idx="14">
                  <c:v>6.7961905996047268E-10</c:v>
                </c:pt>
                <c:pt idx="15">
                  <c:v>6.2902366048282143E-10</c:v>
                </c:pt>
                <c:pt idx="16">
                  <c:v>7.6445716306565277E-10</c:v>
                </c:pt>
                <c:pt idx="17">
                  <c:v>1.1442674255237358E-9</c:v>
                </c:pt>
                <c:pt idx="18">
                  <c:v>1.0307692340502177E-9</c:v>
                </c:pt>
                <c:pt idx="19">
                  <c:v>1.3437125145311814E-9</c:v>
                </c:pt>
                <c:pt idx="20">
                  <c:v>1.853890375653293E-9</c:v>
                </c:pt>
                <c:pt idx="21">
                  <c:v>2.5279198373222826E-9</c:v>
                </c:pt>
                <c:pt idx="22">
                  <c:v>4.3166513131062777E-9</c:v>
                </c:pt>
                <c:pt idx="23">
                  <c:v>6.2744693884562325E-9</c:v>
                </c:pt>
                <c:pt idx="24">
                  <c:v>4.6603433255626738E-9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11328"/>
        <c:axId val="404910936"/>
      </c:lineChart>
      <c:catAx>
        <c:axId val="404910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10544"/>
        <c:crosses val="autoZero"/>
        <c:auto val="1"/>
        <c:lblAlgn val="ctr"/>
        <c:lblOffset val="100"/>
        <c:noMultiLvlLbl val="0"/>
      </c:catAx>
      <c:valAx>
        <c:axId val="40491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10152"/>
        <c:crosses val="autoZero"/>
        <c:crossBetween val="between"/>
        <c:majorUnit val="4000"/>
      </c:valAx>
      <c:valAx>
        <c:axId val="404910936"/>
        <c:scaling>
          <c:orientation val="minMax"/>
        </c:scaling>
        <c:delete val="0"/>
        <c:axPos val="r"/>
        <c:numFmt formatCode="0.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11328"/>
        <c:crosses val="max"/>
        <c:crossBetween val="between"/>
      </c:valAx>
      <c:catAx>
        <c:axId val="404911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4910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01'!$D$5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01'!$D$6:$D$30</c:f>
              <c:numCache>
                <c:formatCode>"$"\ #,##0.00000</c:formatCode>
                <c:ptCount val="25"/>
                <c:pt idx="0">
                  <c:v>1.3835547336721736E-4</c:v>
                </c:pt>
                <c:pt idx="1">
                  <c:v>2.5593072705846183E-3</c:v>
                </c:pt>
                <c:pt idx="2">
                  <c:v>0</c:v>
                </c:pt>
                <c:pt idx="3">
                  <c:v>4.6372290806089613E-4</c:v>
                </c:pt>
                <c:pt idx="4">
                  <c:v>9.6071261819166991E-4</c:v>
                </c:pt>
                <c:pt idx="5">
                  <c:v>1.250392389418423E-3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1.1346162355393818E-4</c:v>
                </c:pt>
                <c:pt idx="10">
                  <c:v>0</c:v>
                </c:pt>
                <c:pt idx="11">
                  <c:v>2.3554989128168756E-3</c:v>
                </c:pt>
                <c:pt idx="12">
                  <c:v>1.1101088559932876E-2</c:v>
                </c:pt>
                <c:pt idx="13">
                  <c:v>1.0173079337334877E-2</c:v>
                </c:pt>
                <c:pt idx="14">
                  <c:v>1.2943068870155494E-3</c:v>
                </c:pt>
                <c:pt idx="15">
                  <c:v>3.1050577482961096E-3</c:v>
                </c:pt>
                <c:pt idx="16">
                  <c:v>2.0843706146632742E-3</c:v>
                </c:pt>
                <c:pt idx="17">
                  <c:v>6.4309926580747171E-3</c:v>
                </c:pt>
                <c:pt idx="18">
                  <c:v>8.2952354120711721E-3</c:v>
                </c:pt>
                <c:pt idx="19">
                  <c:v>1.8212801066254527E-2</c:v>
                </c:pt>
                <c:pt idx="20">
                  <c:v>4.229210282438977E-2</c:v>
                </c:pt>
                <c:pt idx="21">
                  <c:v>6.3569495766621242E-2</c:v>
                </c:pt>
                <c:pt idx="22">
                  <c:v>5.3436562130387097E-2</c:v>
                </c:pt>
                <c:pt idx="23">
                  <c:v>6.6429548686456091E-2</c:v>
                </c:pt>
                <c:pt idx="24">
                  <c:v>2.4936931322590179E-2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01'!$D$35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01'!$D$36:$D$60</c:f>
              <c:numCache>
                <c:formatCode>"$"\ #,##0.0000</c:formatCode>
                <c:ptCount val="25"/>
                <c:pt idx="0">
                  <c:v>6.4801753172572266E-2</c:v>
                </c:pt>
                <c:pt idx="1">
                  <c:v>0.12957753933313701</c:v>
                </c:pt>
                <c:pt idx="2">
                  <c:v>0.1504286672108692</c:v>
                </c:pt>
                <c:pt idx="3">
                  <c:v>0.14044112828749084</c:v>
                </c:pt>
                <c:pt idx="4">
                  <c:v>0.51173627883552231</c:v>
                </c:pt>
                <c:pt idx="5">
                  <c:v>0.48893415869738532</c:v>
                </c:pt>
                <c:pt idx="6">
                  <c:v>0.59758822483594254</c:v>
                </c:pt>
                <c:pt idx="7">
                  <c:v>0.73796573825090228</c:v>
                </c:pt>
                <c:pt idx="8">
                  <c:v>0.56577902110096046</c:v>
                </c:pt>
                <c:pt idx="9">
                  <c:v>0.56184858367656998</c:v>
                </c:pt>
                <c:pt idx="10">
                  <c:v>0.58711080717059083</c:v>
                </c:pt>
                <c:pt idx="11">
                  <c:v>0.48042359008327945</c:v>
                </c:pt>
                <c:pt idx="12">
                  <c:v>0.40192084586859139</c:v>
                </c:pt>
                <c:pt idx="13">
                  <c:v>0.2142806178431334</c:v>
                </c:pt>
                <c:pt idx="14">
                  <c:v>0.41496899688383337</c:v>
                </c:pt>
                <c:pt idx="15">
                  <c:v>0.40158608648085076</c:v>
                </c:pt>
                <c:pt idx="16">
                  <c:v>0.50390438175179519</c:v>
                </c:pt>
                <c:pt idx="17">
                  <c:v>0.75776901774885586</c:v>
                </c:pt>
                <c:pt idx="18">
                  <c:v>0.66085335430675474</c:v>
                </c:pt>
                <c:pt idx="19">
                  <c:v>0.88365560537753984</c:v>
                </c:pt>
                <c:pt idx="20">
                  <c:v>1.2495519290090058</c:v>
                </c:pt>
                <c:pt idx="21">
                  <c:v>1.7533753026368246</c:v>
                </c:pt>
                <c:pt idx="22">
                  <c:v>3.0528917742117545</c:v>
                </c:pt>
                <c:pt idx="23">
                  <c:v>4.5675316580135785</c:v>
                </c:pt>
                <c:pt idx="24">
                  <c:v>3.4702346027215296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01'!$D$64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01'!$D$65:$D$89</c:f>
              <c:numCache>
                <c:formatCode>"$"\ #,##0.00</c:formatCode>
                <c:ptCount val="25"/>
                <c:pt idx="0">
                  <c:v>6.4801891528045621E-2</c:v>
                </c:pt>
                <c:pt idx="1">
                  <c:v>0.12958009864040762</c:v>
                </c:pt>
                <c:pt idx="2">
                  <c:v>0</c:v>
                </c:pt>
                <c:pt idx="3">
                  <c:v>0.14044159201039891</c:v>
                </c:pt>
                <c:pt idx="4">
                  <c:v>0.51173723954814054</c:v>
                </c:pt>
                <c:pt idx="5">
                  <c:v>0.48893540908977468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0.56184869713819363</c:v>
                </c:pt>
                <c:pt idx="10">
                  <c:v>0</c:v>
                </c:pt>
                <c:pt idx="11">
                  <c:v>0.48042594558219232</c:v>
                </c:pt>
                <c:pt idx="12">
                  <c:v>0.40193194695715129</c:v>
                </c:pt>
                <c:pt idx="13">
                  <c:v>0.21429079092247075</c:v>
                </c:pt>
                <c:pt idx="14">
                  <c:v>0.41497029119072038</c:v>
                </c:pt>
                <c:pt idx="15">
                  <c:v>0.40158919153859901</c:v>
                </c:pt>
                <c:pt idx="16">
                  <c:v>0.50390646612240986</c:v>
                </c:pt>
                <c:pt idx="17">
                  <c:v>0.75777544874151392</c:v>
                </c:pt>
                <c:pt idx="18">
                  <c:v>0.66086164954216697</c:v>
                </c:pt>
                <c:pt idx="19">
                  <c:v>0.88367381817860613</c:v>
                </c:pt>
                <c:pt idx="20">
                  <c:v>1.2495942211118303</c:v>
                </c:pt>
                <c:pt idx="21">
                  <c:v>1.7534388721325911</c:v>
                </c:pt>
                <c:pt idx="22">
                  <c:v>3.0529452107738853</c:v>
                </c:pt>
                <c:pt idx="23">
                  <c:v>4.5675980875622644</c:v>
                </c:pt>
                <c:pt idx="24">
                  <c:v>3.4702595396528522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13792"/>
        <c:axId val="495514184"/>
      </c:lineChart>
      <c:catAx>
        <c:axId val="495513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4184"/>
        <c:crosses val="autoZero"/>
        <c:auto val="1"/>
        <c:lblAlgn val="ctr"/>
        <c:lblOffset val="100"/>
        <c:noMultiLvlLbl val="0"/>
      </c:catAx>
      <c:valAx>
        <c:axId val="49551418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37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01'!$D$96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01'!$D$97:$D$121</c:f>
              <c:numCache>
                <c:formatCode>"$"\ #,##0.000</c:formatCode>
                <c:ptCount val="25"/>
                <c:pt idx="0">
                  <c:v>8.8994637646873272E-3</c:v>
                </c:pt>
                <c:pt idx="1">
                  <c:v>1.7943192627360476E-2</c:v>
                </c:pt>
                <c:pt idx="2">
                  <c:v>2.101866237540086E-2</c:v>
                </c:pt>
                <c:pt idx="3">
                  <c:v>1.9600789211583688E-2</c:v>
                </c:pt>
                <c:pt idx="4">
                  <c:v>7.1982056922349255E-2</c:v>
                </c:pt>
                <c:pt idx="5">
                  <c:v>6.9210463689435911E-2</c:v>
                </c:pt>
                <c:pt idx="6">
                  <c:v>8.5074944636257449E-2</c:v>
                </c:pt>
                <c:pt idx="7">
                  <c:v>0.10647455667491457</c:v>
                </c:pt>
                <c:pt idx="8">
                  <c:v>8.2032420517910834E-2</c:v>
                </c:pt>
                <c:pt idx="9">
                  <c:v>7.9447268212075942E-2</c:v>
                </c:pt>
                <c:pt idx="10">
                  <c:v>8.3310056223065282E-2</c:v>
                </c:pt>
                <c:pt idx="11">
                  <c:v>6.8441223908206603E-2</c:v>
                </c:pt>
                <c:pt idx="12">
                  <c:v>5.7444209906338514E-2</c:v>
                </c:pt>
                <c:pt idx="13">
                  <c:v>3.0721611005004833E-2</c:v>
                </c:pt>
                <c:pt idx="14">
                  <c:v>5.9646897409099051E-2</c:v>
                </c:pt>
                <c:pt idx="15">
                  <c:v>5.7866607426235228E-2</c:v>
                </c:pt>
                <c:pt idx="16">
                  <c:v>7.2789908629755581E-2</c:v>
                </c:pt>
                <c:pt idx="17">
                  <c:v>0.10980061321140397</c:v>
                </c:pt>
                <c:pt idx="18">
                  <c:v>9.6274790536406071E-2</c:v>
                </c:pt>
                <c:pt idx="19">
                  <c:v>0.12999897070299266</c:v>
                </c:pt>
                <c:pt idx="20">
                  <c:v>0.18457211208235944</c:v>
                </c:pt>
                <c:pt idx="21">
                  <c:v>0.26001998560526535</c:v>
                </c:pt>
                <c:pt idx="22">
                  <c:v>0.45452356151239609</c:v>
                </c:pt>
                <c:pt idx="23">
                  <c:v>0.68274079843476942</c:v>
                </c:pt>
                <c:pt idx="24">
                  <c:v>0.52043350790722209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01'!$D$126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01'!$D$127:$D$151</c:f>
              <c:numCache>
                <c:formatCode>"$"\ #,##0.00000</c:formatCode>
                <c:ptCount val="25"/>
                <c:pt idx="0">
                  <c:v>1.9000867439476383E-5</c:v>
                </c:pt>
                <c:pt idx="1">
                  <c:v>3.5439894587472128E-4</c:v>
                </c:pt>
                <c:pt idx="2">
                  <c:v>0</c:v>
                </c:pt>
                <c:pt idx="3">
                  <c:v>6.4719894266855013E-5</c:v>
                </c:pt>
                <c:pt idx="4">
                  <c:v>1.3513614967079331E-4</c:v>
                </c:pt>
                <c:pt idx="5">
                  <c:v>1.7699773175175695E-4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1.6043852917241458E-5</c:v>
                </c:pt>
                <c:pt idx="10">
                  <c:v>0</c:v>
                </c:pt>
                <c:pt idx="11">
                  <c:v>3.355647637529443E-4</c:v>
                </c:pt>
                <c:pt idx="12">
                  <c:v>1.5866140509520426E-3</c:v>
                </c:pt>
                <c:pt idx="13">
                  <c:v>1.4585238239020204E-3</c:v>
                </c:pt>
                <c:pt idx="14">
                  <c:v>1.8604134449908948E-4</c:v>
                </c:pt>
                <c:pt idx="15">
                  <c:v>4.4742376243906231E-4</c:v>
                </c:pt>
                <c:pt idx="16">
                  <c:v>3.0109114364998613E-4</c:v>
                </c:pt>
                <c:pt idx="17">
                  <c:v>9.3184983929848325E-4</c:v>
                </c:pt>
                <c:pt idx="18">
                  <c:v>1.2084709059018044E-3</c:v>
                </c:pt>
                <c:pt idx="19">
                  <c:v>2.6793757407557947E-3</c:v>
                </c:pt>
                <c:pt idx="20">
                  <c:v>6.246993471405924E-3</c:v>
                </c:pt>
                <c:pt idx="21">
                  <c:v>9.4271542146812954E-3</c:v>
                </c:pt>
                <c:pt idx="22">
                  <c:v>7.955793500329076E-3</c:v>
                </c:pt>
                <c:pt idx="23">
                  <c:v>9.9296877407034703E-3</c:v>
                </c:pt>
                <c:pt idx="24">
                  <c:v>3.7398090130503249E-3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01'!$D$155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01'!$D$156:$D$180</c:f>
              <c:numCache>
                <c:formatCode>"$"\ #,##0.0000</c:formatCode>
                <c:ptCount val="25"/>
                <c:pt idx="0">
                  <c:v>8.8994827655547674E-3</c:v>
                </c:pt>
                <c:pt idx="1">
                  <c:v>1.794354702630635E-2</c:v>
                </c:pt>
                <c:pt idx="2">
                  <c:v>0</c:v>
                </c:pt>
                <c:pt idx="3">
                  <c:v>1.9600853931477955E-2</c:v>
                </c:pt>
                <c:pt idx="4">
                  <c:v>7.1982192058498942E-2</c:v>
                </c:pt>
                <c:pt idx="5">
                  <c:v>6.9210640687167674E-2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7.9447284255928854E-2</c:v>
                </c:pt>
                <c:pt idx="10">
                  <c:v>0</c:v>
                </c:pt>
                <c:pt idx="11">
                  <c:v>6.8441559472970356E-2</c:v>
                </c:pt>
                <c:pt idx="12">
                  <c:v>5.7445796520389461E-2</c:v>
                </c:pt>
                <c:pt idx="13">
                  <c:v>3.0723069528828736E-2</c:v>
                </c:pt>
                <c:pt idx="14">
                  <c:v>5.9647083450443547E-2</c:v>
                </c:pt>
                <c:pt idx="15">
                  <c:v>5.7867054849997664E-2</c:v>
                </c:pt>
                <c:pt idx="16">
                  <c:v>7.2790209720899238E-2</c:v>
                </c:pt>
                <c:pt idx="17">
                  <c:v>0.10980154506124327</c:v>
                </c:pt>
                <c:pt idx="18">
                  <c:v>9.6275999007311971E-2</c:v>
                </c:pt>
                <c:pt idx="19">
                  <c:v>0.13000165007873341</c:v>
                </c:pt>
                <c:pt idx="20">
                  <c:v>0.18457835907583084</c:v>
                </c:pt>
                <c:pt idx="21">
                  <c:v>0.26002941275948005</c:v>
                </c:pt>
                <c:pt idx="22">
                  <c:v>0.45453151730589647</c:v>
                </c:pt>
                <c:pt idx="23">
                  <c:v>0.68275072812251014</c:v>
                </c:pt>
                <c:pt idx="24">
                  <c:v>0.52043724771623512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14968"/>
        <c:axId val="495515360"/>
      </c:lineChart>
      <c:catAx>
        <c:axId val="495514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5360"/>
        <c:crosses val="autoZero"/>
        <c:auto val="1"/>
        <c:lblAlgn val="ctr"/>
        <c:lblOffset val="100"/>
        <c:noMultiLvlLbl val="0"/>
      </c:catAx>
      <c:valAx>
        <c:axId val="49551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00'!$A$2:$A$26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00'!$B$2:$B$26</c:f>
              <c:numCache>
                <c:formatCode>[$$-409]#,##0</c:formatCode>
                <c:ptCount val="25"/>
                <c:pt idx="0">
                  <c:v>-1072.2910000000002</c:v>
                </c:pt>
                <c:pt idx="1">
                  <c:v>-1738.4459999999999</c:v>
                </c:pt>
                <c:pt idx="2">
                  <c:v>-1206.7849999999999</c:v>
                </c:pt>
                <c:pt idx="3">
                  <c:v>-2442.4479999999999</c:v>
                </c:pt>
                <c:pt idx="4">
                  <c:v>-1900.6889999999999</c:v>
                </c:pt>
                <c:pt idx="5">
                  <c:v>-3426.0199999999995</c:v>
                </c:pt>
                <c:pt idx="6">
                  <c:v>-2731.4639999999999</c:v>
                </c:pt>
                <c:pt idx="7">
                  <c:v>-2595.123</c:v>
                </c:pt>
                <c:pt idx="8">
                  <c:v>-1485.5729999999999</c:v>
                </c:pt>
                <c:pt idx="9">
                  <c:v>-631.43099999999981</c:v>
                </c:pt>
                <c:pt idx="10">
                  <c:v>-1501.42</c:v>
                </c:pt>
                <c:pt idx="11">
                  <c:v>-2258.9620000000004</c:v>
                </c:pt>
                <c:pt idx="12">
                  <c:v>-2779.7570000000005</c:v>
                </c:pt>
                <c:pt idx="13">
                  <c:v>-146.40700000000015</c:v>
                </c:pt>
                <c:pt idx="14">
                  <c:v>-325.57399999999961</c:v>
                </c:pt>
                <c:pt idx="15">
                  <c:v>-1815.8449999999998</c:v>
                </c:pt>
                <c:pt idx="16">
                  <c:v>-1579.9270000000006</c:v>
                </c:pt>
                <c:pt idx="17">
                  <c:v>-3191.0590000000002</c:v>
                </c:pt>
                <c:pt idx="18">
                  <c:v>-3220.2969999999996</c:v>
                </c:pt>
                <c:pt idx="19">
                  <c:v>592.38700000000006</c:v>
                </c:pt>
                <c:pt idx="20">
                  <c:v>-638.8180000000001</c:v>
                </c:pt>
                <c:pt idx="21">
                  <c:v>-679.54899999999998</c:v>
                </c:pt>
                <c:pt idx="22">
                  <c:v>-249.30399999999986</c:v>
                </c:pt>
                <c:pt idx="23">
                  <c:v>460.779</c:v>
                </c:pt>
                <c:pt idx="24">
                  <c:v>1813.0790000000002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166504"/>
        <c:axId val="503166896"/>
      </c:lineChart>
      <c:catAx>
        <c:axId val="50316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3166896"/>
        <c:crosses val="autoZero"/>
        <c:auto val="1"/>
        <c:lblAlgn val="ctr"/>
        <c:lblOffset val="100"/>
        <c:noMultiLvlLbl val="0"/>
      </c:catAx>
      <c:valAx>
        <c:axId val="50316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Importaciones de Animales vivos a Estados Unidos (miles de dólares)</a:t>
                </a:r>
              </a:p>
            </c:rich>
          </c:tx>
          <c:layout/>
          <c:overlay val="0"/>
        </c:title>
        <c:numFmt formatCode="[$$-409]#,##0" sourceLinked="1"/>
        <c:majorTickMark val="out"/>
        <c:minorTickMark val="none"/>
        <c:tickLblPos val="nextTo"/>
        <c:crossAx val="503166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01'!$D$5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01'!$B$6:$B$30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01'!$D$6:$D$30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515752"/>
        <c:axId val="4955161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01'!$C$5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01'!$B$6:$B$30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01'!$C$6:$C$30</c15:sqref>
                        </c15:formulaRef>
                      </c:ext>
                    </c:extLst>
                    <c:numCache>
                      <c:formatCode>"$"\ #,##0</c:formatCode>
                      <c:ptCount val="25"/>
                      <c:pt idx="0">
                        <c:v>4819</c:v>
                      </c:pt>
                      <c:pt idx="1">
                        <c:v>90909</c:v>
                      </c:pt>
                      <c:pt idx="2">
                        <c:v>0</c:v>
                      </c:pt>
                      <c:pt idx="3">
                        <c:v>17090</c:v>
                      </c:pt>
                      <c:pt idx="4">
                        <c:v>36000</c:v>
                      </c:pt>
                      <c:pt idx="5">
                        <c:v>47600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4572</c:v>
                      </c:pt>
                      <c:pt idx="10">
                        <c:v>0</c:v>
                      </c:pt>
                      <c:pt idx="11">
                        <c:v>97350</c:v>
                      </c:pt>
                      <c:pt idx="12">
                        <c:v>464569</c:v>
                      </c:pt>
                      <c:pt idx="13">
                        <c:v>431018</c:v>
                      </c:pt>
                      <c:pt idx="14">
                        <c:v>55511</c:v>
                      </c:pt>
                      <c:pt idx="15">
                        <c:v>134778</c:v>
                      </c:pt>
                      <c:pt idx="16">
                        <c:v>91560</c:v>
                      </c:pt>
                      <c:pt idx="17">
                        <c:v>285865</c:v>
                      </c:pt>
                      <c:pt idx="18">
                        <c:v>373110</c:v>
                      </c:pt>
                      <c:pt idx="19">
                        <c:v>828857</c:v>
                      </c:pt>
                      <c:pt idx="20">
                        <c:v>1947323</c:v>
                      </c:pt>
                      <c:pt idx="21">
                        <c:v>2961183</c:v>
                      </c:pt>
                      <c:pt idx="22">
                        <c:v>2517989</c:v>
                      </c:pt>
                      <c:pt idx="23">
                        <c:v>3166151</c:v>
                      </c:pt>
                      <c:pt idx="24">
                        <c:v>1202045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01'!$E$5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01'!$B$6:$B$30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01'!$E$6:$E$30</c:f>
              <c:numCache>
                <c:formatCode>0.0000000%</c:formatCode>
                <c:ptCount val="25"/>
                <c:pt idx="0">
                  <c:v>1.5602215067744501E-10</c:v>
                </c:pt>
                <c:pt idx="1">
                  <c:v>2.4737964090236471E-9</c:v>
                </c:pt>
                <c:pt idx="2">
                  <c:v>0</c:v>
                </c:pt>
                <c:pt idx="3">
                  <c:v>2.0686609009653708E-10</c:v>
                </c:pt>
                <c:pt idx="4">
                  <c:v>3.6931304081278414E-10</c:v>
                </c:pt>
                <c:pt idx="5">
                  <c:v>3.464218696417416E-10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2.630034860042108E-11</c:v>
                </c:pt>
                <c:pt idx="10">
                  <c:v>0</c:v>
                </c:pt>
                <c:pt idx="11">
                  <c:v>5.0418502052061521E-10</c:v>
                </c:pt>
                <c:pt idx="12">
                  <c:v>2.2796553339397769E-9</c:v>
                </c:pt>
                <c:pt idx="13">
                  <c:v>1.9554793600741001E-9</c:v>
                </c:pt>
                <c:pt idx="14">
                  <c:v>2.1766997411103256E-10</c:v>
                </c:pt>
                <c:pt idx="15">
                  <c:v>4.6534614767912509E-10</c:v>
                </c:pt>
                <c:pt idx="16">
                  <c:v>2.8986925933971984E-10</c:v>
                </c:pt>
                <c:pt idx="17">
                  <c:v>8.0075456618340886E-10</c:v>
                </c:pt>
                <c:pt idx="18">
                  <c:v>9.0131082495292951E-10</c:v>
                </c:pt>
                <c:pt idx="19">
                  <c:v>1.7386330417575499E-9</c:v>
                </c:pt>
                <c:pt idx="20">
                  <c:v>4.3282954063509676E-9</c:v>
                </c:pt>
                <c:pt idx="21">
                  <c:v>5.9857172753558749E-9</c:v>
                </c:pt>
                <c:pt idx="22">
                  <c:v>4.300973168608416E-9</c:v>
                </c:pt>
                <c:pt idx="23">
                  <c:v>5.2134064437824901E-9</c:v>
                </c:pt>
                <c:pt idx="24">
                  <c:v>1.8626789061680411E-9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16928"/>
        <c:axId val="495516536"/>
      </c:lineChart>
      <c:catAx>
        <c:axId val="495515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6144"/>
        <c:crosses val="autoZero"/>
        <c:auto val="1"/>
        <c:lblAlgn val="ctr"/>
        <c:lblOffset val="100"/>
        <c:noMultiLvlLbl val="0"/>
      </c:catAx>
      <c:valAx>
        <c:axId val="49551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5752"/>
        <c:crosses val="autoZero"/>
        <c:crossBetween val="between"/>
      </c:valAx>
      <c:valAx>
        <c:axId val="495516536"/>
        <c:scaling>
          <c:orientation val="minMax"/>
        </c:scaling>
        <c:delete val="0"/>
        <c:axPos val="r"/>
        <c:numFmt formatCode="0.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6928"/>
        <c:crosses val="max"/>
        <c:crossBetween val="between"/>
      </c:valAx>
      <c:catAx>
        <c:axId val="4955169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5516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01'!$D$36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01'!$B$37:$B$61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01'!$D$37:$D$61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517712"/>
        <c:axId val="495518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01'!$C$36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01'!$B$37:$B$61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01'!$C$37:$C$61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2.257082</c:v>
                      </c:pt>
                      <c:pt idx="1">
                        <c:v>4.602716</c:v>
                      </c:pt>
                      <c:pt idx="2">
                        <c:v>5.4465870000000001</c:v>
                      </c:pt>
                      <c:pt idx="3">
                        <c:v>5.1758040000000003</c:v>
                      </c:pt>
                      <c:pt idx="4">
                        <c:v>19.175875999999999</c:v>
                      </c:pt>
                      <c:pt idx="5">
                        <c:v>18.612770000000001</c:v>
                      </c:pt>
                      <c:pt idx="6">
                        <c:v>23.088234</c:v>
                      </c:pt>
                      <c:pt idx="7">
                        <c:v>28.916785999999998</c:v>
                      </c:pt>
                      <c:pt idx="8">
                        <c:v>22.478852</c:v>
                      </c:pt>
                      <c:pt idx="9">
                        <c:v>22.640004999999999</c:v>
                      </c:pt>
                      <c:pt idx="10">
                        <c:v>23.962071000000002</c:v>
                      </c:pt>
                      <c:pt idx="11">
                        <c:v>19.855342</c:v>
                      </c:pt>
                      <c:pt idx="12">
                        <c:v>16.819969</c:v>
                      </c:pt>
                      <c:pt idx="13">
                        <c:v>9.0787460000000006</c:v>
                      </c:pt>
                      <c:pt idx="14">
                        <c:v>17.797436000000001</c:v>
                      </c:pt>
                      <c:pt idx="15">
                        <c:v>17.431228000000001</c:v>
                      </c:pt>
                      <c:pt idx="16">
                        <c:v>22.134972000000001</c:v>
                      </c:pt>
                      <c:pt idx="17">
                        <c:v>33.683701999999997</c:v>
                      </c:pt>
                      <c:pt idx="18">
                        <c:v>29.724412000000001</c:v>
                      </c:pt>
                      <c:pt idx="19">
                        <c:v>40.214798999999999</c:v>
                      </c:pt>
                      <c:pt idx="20">
                        <c:v>57.535119999999999</c:v>
                      </c:pt>
                      <c:pt idx="21">
                        <c:v>81.675417999999993</c:v>
                      </c:pt>
                      <c:pt idx="22">
                        <c:v>143.85558499999999</c:v>
                      </c:pt>
                      <c:pt idx="23">
                        <c:v>217.696721</c:v>
                      </c:pt>
                      <c:pt idx="24">
                        <c:v>167.27712399999999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01'!$E$36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01'!$B$37:$B$61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01'!$E$37:$E$61</c:f>
              <c:numCache>
                <c:formatCode>0.000000%</c:formatCode>
                <c:ptCount val="25"/>
                <c:pt idx="0">
                  <c:v>7.3076320376706569E-8</c:v>
                </c:pt>
                <c:pt idx="1">
                  <c:v>1.252481306862432E-7</c:v>
                </c:pt>
                <c:pt idx="2">
                  <c:v>1.0055773433833459E-7</c:v>
                </c:pt>
                <c:pt idx="3">
                  <c:v>6.2650575575542255E-8</c:v>
                </c:pt>
                <c:pt idx="4">
                  <c:v>1.9671947432802468E-7</c:v>
                </c:pt>
                <c:pt idx="5">
                  <c:v>1.3545946602125459E-7</c:v>
                </c:pt>
                <c:pt idx="6">
                  <c:v>1.3710317723060444E-7</c:v>
                </c:pt>
                <c:pt idx="7">
                  <c:v>1.5660811298527371E-7</c:v>
                </c:pt>
                <c:pt idx="8">
                  <c:v>1.2317365457143352E-7</c:v>
                </c:pt>
                <c:pt idx="9">
                  <c:v>1.3023622568138152E-7</c:v>
                </c:pt>
                <c:pt idx="10">
                  <c:v>1.4130866699828483E-7</c:v>
                </c:pt>
                <c:pt idx="11">
                  <c:v>1.0283272741359869E-7</c:v>
                </c:pt>
                <c:pt idx="12">
                  <c:v>8.2536140051427655E-8</c:v>
                </c:pt>
                <c:pt idx="13">
                  <c:v>4.1189232046817761E-8</c:v>
                </c:pt>
                <c:pt idx="14">
                  <c:v>6.9787383281921775E-8</c:v>
                </c:pt>
                <c:pt idx="15">
                  <c:v>6.0184561271991717E-8</c:v>
                </c:pt>
                <c:pt idx="16">
                  <c:v>7.0076976181142832E-8</c:v>
                </c:pt>
                <c:pt idx="17">
                  <c:v>9.4353552139860494E-8</c:v>
                </c:pt>
                <c:pt idx="18">
                  <c:v>7.1804385572514154E-8</c:v>
                </c:pt>
                <c:pt idx="19">
                  <c:v>8.4355658827805598E-8</c:v>
                </c:pt>
                <c:pt idx="20">
                  <c:v>1.2788273727566084E-7</c:v>
                </c:pt>
                <c:pt idx="21">
                  <c:v>1.6509819234222005E-7</c:v>
                </c:pt>
                <c:pt idx="22">
                  <c:v>2.4571950522399713E-7</c:v>
                </c:pt>
                <c:pt idx="23">
                  <c:v>3.5846094770960666E-7</c:v>
                </c:pt>
                <c:pt idx="24">
                  <c:v>2.5921123615110558E-7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18888"/>
        <c:axId val="495518496"/>
      </c:lineChart>
      <c:catAx>
        <c:axId val="49551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8104"/>
        <c:crosses val="autoZero"/>
        <c:auto val="1"/>
        <c:lblAlgn val="ctr"/>
        <c:lblOffset val="100"/>
        <c:noMultiLvlLbl val="0"/>
      </c:catAx>
      <c:valAx>
        <c:axId val="49551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7712"/>
        <c:crosses val="autoZero"/>
        <c:crossBetween val="between"/>
      </c:valAx>
      <c:valAx>
        <c:axId val="495518496"/>
        <c:scaling>
          <c:orientation val="minMax"/>
          <c:max val="4.0000000000000019E-7"/>
          <c:min val="0"/>
        </c:scaling>
        <c:delete val="0"/>
        <c:axPos val="r"/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8888"/>
        <c:crosses val="max"/>
        <c:crossBetween val="between"/>
        <c:majorUnit val="1.0000000000000005E-7"/>
      </c:valAx>
      <c:catAx>
        <c:axId val="495518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5518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01'!$D$67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01'!$B$68:$B$92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01'!$D$68:$D$92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519672"/>
        <c:axId val="495520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01'!$C$67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01'!$B$68:$B$92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01'!$C$68:$C$92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2.257086819</c:v>
                      </c:pt>
                      <c:pt idx="1">
                        <c:v>4.6028069089999999</c:v>
                      </c:pt>
                      <c:pt idx="2">
                        <c:v>0</c:v>
                      </c:pt>
                      <c:pt idx="3">
                        <c:v>5.1758210900000003</c:v>
                      </c:pt>
                      <c:pt idx="4">
                        <c:v>19.175912</c:v>
                      </c:pt>
                      <c:pt idx="5">
                        <c:v>18.6128176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22.640009572</c:v>
                      </c:pt>
                      <c:pt idx="10">
                        <c:v>0</c:v>
                      </c:pt>
                      <c:pt idx="11">
                        <c:v>19.855439350000001</c:v>
                      </c:pt>
                      <c:pt idx="12">
                        <c:v>16.820433568999999</c:v>
                      </c:pt>
                      <c:pt idx="13">
                        <c:v>9.0791770180000011</c:v>
                      </c:pt>
                      <c:pt idx="14">
                        <c:v>17.797491511</c:v>
                      </c:pt>
                      <c:pt idx="15">
                        <c:v>17.431362778</c:v>
                      </c:pt>
                      <c:pt idx="16">
                        <c:v>22.135063560000003</c:v>
                      </c:pt>
                      <c:pt idx="17">
                        <c:v>33.683987864999999</c:v>
                      </c:pt>
                      <c:pt idx="18">
                        <c:v>29.724785110000003</c:v>
                      </c:pt>
                      <c:pt idx="19">
                        <c:v>40.215627857000001</c:v>
                      </c:pt>
                      <c:pt idx="20">
                        <c:v>57.537067323000002</c:v>
                      </c:pt>
                      <c:pt idx="21">
                        <c:v>81.67837918299999</c:v>
                      </c:pt>
                      <c:pt idx="22">
                        <c:v>143.858102989</c:v>
                      </c:pt>
                      <c:pt idx="23">
                        <c:v>217.69988715099998</c:v>
                      </c:pt>
                      <c:pt idx="24">
                        <c:v>167.278326045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01'!$E$67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01'!$B$68:$B$92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01'!$E$68:$E$92</c:f>
              <c:numCache>
                <c:formatCode>0.0000000%</c:formatCode>
                <c:ptCount val="25"/>
                <c:pt idx="0">
                  <c:v>3.6538238199428618E-9</c:v>
                </c:pt>
                <c:pt idx="1">
                  <c:v>6.2625302241326109E-9</c:v>
                </c:pt>
                <c:pt idx="2">
                  <c:v>0</c:v>
                </c:pt>
                <c:pt idx="3">
                  <c:v>3.1325391220816172E-9</c:v>
                </c:pt>
                <c:pt idx="4">
                  <c:v>9.8359921820532747E-9</c:v>
                </c:pt>
                <c:pt idx="5">
                  <c:v>6.7729906221562105E-9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6.5118125990865052E-9</c:v>
                </c:pt>
                <c:pt idx="10">
                  <c:v>0</c:v>
                </c:pt>
                <c:pt idx="11">
                  <c:v>5.1416615799309608E-9</c:v>
                </c:pt>
                <c:pt idx="12">
                  <c:v>4.1269209853380797E-9</c:v>
                </c:pt>
                <c:pt idx="13">
                  <c:v>2.0595593763088918E-9</c:v>
                </c:pt>
                <c:pt idx="14">
                  <c:v>3.4893800475947935E-9</c:v>
                </c:pt>
                <c:pt idx="15">
                  <c:v>3.0092513309069697E-9</c:v>
                </c:pt>
                <c:pt idx="16">
                  <c:v>3.5038633025201089E-9</c:v>
                </c:pt>
                <c:pt idx="17">
                  <c:v>4.7177176447213343E-9</c:v>
                </c:pt>
                <c:pt idx="18">
                  <c:v>3.5902643441669561E-9</c:v>
                </c:pt>
                <c:pt idx="19">
                  <c:v>4.2178698730423683E-9</c:v>
                </c:pt>
                <c:pt idx="20">
                  <c:v>6.3943532785533592E-9</c:v>
                </c:pt>
                <c:pt idx="21">
                  <c:v>8.2552089029747703E-9</c:v>
                </c:pt>
                <c:pt idx="22">
                  <c:v>1.2286190309858287E-8</c:v>
                </c:pt>
                <c:pt idx="23">
                  <c:v>1.7923308055802524E-8</c:v>
                </c:pt>
                <c:pt idx="24">
                  <c:v>1.2960654941500591E-8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848"/>
        <c:axId val="495520456"/>
      </c:lineChart>
      <c:catAx>
        <c:axId val="49551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20064"/>
        <c:crosses val="autoZero"/>
        <c:auto val="1"/>
        <c:lblAlgn val="ctr"/>
        <c:lblOffset val="100"/>
        <c:noMultiLvlLbl val="0"/>
      </c:catAx>
      <c:valAx>
        <c:axId val="49552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19672"/>
        <c:crosses val="autoZero"/>
        <c:crossBetween val="between"/>
      </c:valAx>
      <c:valAx>
        <c:axId val="495520456"/>
        <c:scaling>
          <c:orientation val="minMax"/>
        </c:scaling>
        <c:delete val="0"/>
        <c:axPos val="r"/>
        <c:numFmt formatCode="0.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520848"/>
        <c:crosses val="max"/>
        <c:crossBetween val="between"/>
        <c:majorUnit val="4.0000000000000019E-9"/>
      </c:valAx>
      <c:catAx>
        <c:axId val="495520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5520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02'!$B$1</c:f>
              <c:strCache>
                <c:ptCount val="1"/>
                <c:pt idx="0">
                  <c:v>Exportaciones  de Colombia a USA (US$ miles)</c:v>
                </c:pt>
              </c:strCache>
            </c:strRef>
          </c:tx>
          <c:invertIfNegative val="0"/>
          <c:cat>
            <c:numRef>
              <c:f>'Export 02'!$A$2:$A$26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02'!$B$2:$B$26</c:f>
              <c:numCache>
                <c:formatCode>0.0</c:formatCode>
                <c:ptCount val="25"/>
                <c:pt idx="0">
                  <c:v>193.2</c:v>
                </c:pt>
                <c:pt idx="1">
                  <c:v>98.457999999999998</c:v>
                </c:pt>
                <c:pt idx="2">
                  <c:v>189.28800000000001</c:v>
                </c:pt>
                <c:pt idx="3">
                  <c:v>181.245</c:v>
                </c:pt>
                <c:pt idx="4">
                  <c:v>318.63600000000002</c:v>
                </c:pt>
                <c:pt idx="5">
                  <c:v>186.023</c:v>
                </c:pt>
                <c:pt idx="6">
                  <c:v>299.63900000000001</c:v>
                </c:pt>
                <c:pt idx="7">
                  <c:v>229.15799999999999</c:v>
                </c:pt>
                <c:pt idx="8">
                  <c:v>48.418999999999997</c:v>
                </c:pt>
                <c:pt idx="9">
                  <c:v>130.333</c:v>
                </c:pt>
                <c:pt idx="10">
                  <c:v>44.466000000000001</c:v>
                </c:pt>
                <c:pt idx="11">
                  <c:v>1143.337</c:v>
                </c:pt>
                <c:pt idx="12">
                  <c:v>1736.789</c:v>
                </c:pt>
                <c:pt idx="13">
                  <c:v>3722.8020000000001</c:v>
                </c:pt>
                <c:pt idx="14">
                  <c:v>2617.0740000000001</c:v>
                </c:pt>
                <c:pt idx="15">
                  <c:v>2260.576</c:v>
                </c:pt>
                <c:pt idx="16">
                  <c:v>1929.002</c:v>
                </c:pt>
                <c:pt idx="17">
                  <c:v>2543.1509999999998</c:v>
                </c:pt>
                <c:pt idx="18">
                  <c:v>1629.9090000000001</c:v>
                </c:pt>
                <c:pt idx="19">
                  <c:v>1239.7750000000001</c:v>
                </c:pt>
                <c:pt idx="20">
                  <c:v>1556.4110000000001</c:v>
                </c:pt>
                <c:pt idx="21">
                  <c:v>1228.972</c:v>
                </c:pt>
                <c:pt idx="22">
                  <c:v>1314.857</c:v>
                </c:pt>
                <c:pt idx="23">
                  <c:v>2674.6019999999999</c:v>
                </c:pt>
                <c:pt idx="24">
                  <c:v>3160.4050000000002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590312"/>
        <c:axId val="494590704"/>
      </c:barChart>
      <c:catAx>
        <c:axId val="494590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590704"/>
        <c:crosses val="autoZero"/>
        <c:auto val="1"/>
        <c:lblAlgn val="ctr"/>
        <c:lblOffset val="100"/>
        <c:noMultiLvlLbl val="0"/>
      </c:catAx>
      <c:valAx>
        <c:axId val="494590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 Miles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94590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02'!$A$2:$A$26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02'!$B$2:$B$26</c:f>
              <c:numCache>
                <c:formatCode>0.00</c:formatCode>
                <c:ptCount val="25"/>
                <c:pt idx="0">
                  <c:v>1.488518</c:v>
                </c:pt>
                <c:pt idx="1">
                  <c:v>6.3081459999999998</c:v>
                </c:pt>
                <c:pt idx="2">
                  <c:v>9.1881140000000006</c:v>
                </c:pt>
                <c:pt idx="3">
                  <c:v>5.7732659999999996</c:v>
                </c:pt>
                <c:pt idx="4">
                  <c:v>14.381983999999999</c:v>
                </c:pt>
                <c:pt idx="5">
                  <c:v>9.2738960000000006</c:v>
                </c:pt>
                <c:pt idx="6">
                  <c:v>13.991676999999999</c:v>
                </c:pt>
                <c:pt idx="7">
                  <c:v>8.2078140000000008</c:v>
                </c:pt>
                <c:pt idx="8">
                  <c:v>3.582703</c:v>
                </c:pt>
                <c:pt idx="9">
                  <c:v>4.2160919999999997</c:v>
                </c:pt>
                <c:pt idx="10">
                  <c:v>3.6428370000000001</c:v>
                </c:pt>
                <c:pt idx="11">
                  <c:v>0.99275800000000003</c:v>
                </c:pt>
                <c:pt idx="12">
                  <c:v>1.186763</c:v>
                </c:pt>
                <c:pt idx="13">
                  <c:v>2.2491099999999999</c:v>
                </c:pt>
                <c:pt idx="14">
                  <c:v>3.9962680000000002</c:v>
                </c:pt>
                <c:pt idx="15">
                  <c:v>3.2213280000000002</c:v>
                </c:pt>
                <c:pt idx="16">
                  <c:v>4.4266769999999998</c:v>
                </c:pt>
                <c:pt idx="17">
                  <c:v>8.3235340000000004</c:v>
                </c:pt>
                <c:pt idx="18">
                  <c:v>3.0615399999999999</c:v>
                </c:pt>
                <c:pt idx="19">
                  <c:v>2.009004</c:v>
                </c:pt>
                <c:pt idx="20">
                  <c:v>3.4654319999999998</c:v>
                </c:pt>
                <c:pt idx="21">
                  <c:v>17.508887999999999</c:v>
                </c:pt>
                <c:pt idx="22">
                  <c:v>30.783857000000001</c:v>
                </c:pt>
                <c:pt idx="23">
                  <c:v>51.005201999999997</c:v>
                </c:pt>
                <c:pt idx="24">
                  <c:v>45.102443999999998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591488"/>
        <c:axId val="494591880"/>
      </c:lineChart>
      <c:catAx>
        <c:axId val="49459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591880"/>
        <c:crosses val="autoZero"/>
        <c:auto val="1"/>
        <c:lblAlgn val="ctr"/>
        <c:lblOffset val="100"/>
        <c:noMultiLvlLbl val="0"/>
      </c:catAx>
      <c:valAx>
        <c:axId val="494591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94591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02'!$A$2:$A$26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02'!$B$2:$B$26</c:f>
              <c:numCache>
                <c:formatCode>[$$-409]#,##0.000</c:formatCode>
                <c:ptCount val="25"/>
                <c:pt idx="0">
                  <c:v>-1.295318</c:v>
                </c:pt>
                <c:pt idx="1">
                  <c:v>-6.2096879999999999</c:v>
                </c:pt>
                <c:pt idx="2">
                  <c:v>-8.9988260000000011</c:v>
                </c:pt>
                <c:pt idx="3">
                  <c:v>-5.5920209999999999</c:v>
                </c:pt>
                <c:pt idx="4">
                  <c:v>-14.063348</c:v>
                </c:pt>
                <c:pt idx="5">
                  <c:v>-9.0878730000000001</c:v>
                </c:pt>
                <c:pt idx="6">
                  <c:v>-13.692038</c:v>
                </c:pt>
                <c:pt idx="7">
                  <c:v>-7.9786560000000009</c:v>
                </c:pt>
                <c:pt idx="8">
                  <c:v>-3.534284</c:v>
                </c:pt>
                <c:pt idx="9">
                  <c:v>-4.0857589999999995</c:v>
                </c:pt>
                <c:pt idx="10">
                  <c:v>-3.5983710000000002</c:v>
                </c:pt>
                <c:pt idx="11">
                  <c:v>0.15057900000000002</c:v>
                </c:pt>
                <c:pt idx="12">
                  <c:v>0.5500259999999999</c:v>
                </c:pt>
                <c:pt idx="13">
                  <c:v>1.4736920000000002</c:v>
                </c:pt>
                <c:pt idx="14">
                  <c:v>-1.379194</c:v>
                </c:pt>
                <c:pt idx="15">
                  <c:v>-0.96075200000000027</c:v>
                </c:pt>
                <c:pt idx="16">
                  <c:v>-2.4976750000000001</c:v>
                </c:pt>
                <c:pt idx="17">
                  <c:v>-5.7803830000000005</c:v>
                </c:pt>
                <c:pt idx="18">
                  <c:v>-1.4316309999999999</c:v>
                </c:pt>
                <c:pt idx="19">
                  <c:v>-0.76922899999999994</c:v>
                </c:pt>
                <c:pt idx="20">
                  <c:v>-1.9090209999999999</c:v>
                </c:pt>
                <c:pt idx="21">
                  <c:v>-16.279916</c:v>
                </c:pt>
                <c:pt idx="22">
                  <c:v>-29.469000000000001</c:v>
                </c:pt>
                <c:pt idx="23">
                  <c:v>-48.330599999999997</c:v>
                </c:pt>
                <c:pt idx="24">
                  <c:v>-41.942039000000001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592664"/>
        <c:axId val="494593056"/>
      </c:lineChart>
      <c:catAx>
        <c:axId val="494592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593056"/>
        <c:crosses val="autoZero"/>
        <c:auto val="1"/>
        <c:lblAlgn val="ctr"/>
        <c:lblOffset val="100"/>
        <c:noMultiLvlLbl val="0"/>
      </c:catAx>
      <c:valAx>
        <c:axId val="494593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[$$-409]#,##0.000" sourceLinked="1"/>
        <c:majorTickMark val="out"/>
        <c:minorTickMark val="none"/>
        <c:tickLblPos val="nextTo"/>
        <c:crossAx val="494592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02'!$C$6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02'!$A$7:$A$31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593840"/>
        <c:axId val="494594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02'!$B$6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02'!$A$7:$A$31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02'!$B$7:$B$31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193.2</c:v>
                      </c:pt>
                      <c:pt idx="1">
                        <c:v>98.457999999999998</c:v>
                      </c:pt>
                      <c:pt idx="2">
                        <c:v>189.28800000000001</c:v>
                      </c:pt>
                      <c:pt idx="3">
                        <c:v>181.245</c:v>
                      </c:pt>
                      <c:pt idx="4">
                        <c:v>318.63600000000002</c:v>
                      </c:pt>
                      <c:pt idx="5">
                        <c:v>186.023</c:v>
                      </c:pt>
                      <c:pt idx="6">
                        <c:v>299.63900000000001</c:v>
                      </c:pt>
                      <c:pt idx="7">
                        <c:v>229.15799999999999</c:v>
                      </c:pt>
                      <c:pt idx="8">
                        <c:v>48.418999999999997</c:v>
                      </c:pt>
                      <c:pt idx="9">
                        <c:v>130.333</c:v>
                      </c:pt>
                      <c:pt idx="10">
                        <c:v>44.466000000000001</c:v>
                      </c:pt>
                      <c:pt idx="11">
                        <c:v>1143.337</c:v>
                      </c:pt>
                      <c:pt idx="12">
                        <c:v>1736.789</c:v>
                      </c:pt>
                      <c:pt idx="13">
                        <c:v>3722.8020000000001</c:v>
                      </c:pt>
                      <c:pt idx="14">
                        <c:v>2617.0740000000001</c:v>
                      </c:pt>
                      <c:pt idx="15">
                        <c:v>2260.576</c:v>
                      </c:pt>
                      <c:pt idx="16">
                        <c:v>1929.002</c:v>
                      </c:pt>
                      <c:pt idx="17">
                        <c:v>2543.1509999999998</c:v>
                      </c:pt>
                      <c:pt idx="18">
                        <c:v>1629.9090000000001</c:v>
                      </c:pt>
                      <c:pt idx="19">
                        <c:v>1239.7750000000001</c:v>
                      </c:pt>
                      <c:pt idx="20">
                        <c:v>1556.4110000000001</c:v>
                      </c:pt>
                      <c:pt idx="21">
                        <c:v>1228.972</c:v>
                      </c:pt>
                      <c:pt idx="22">
                        <c:v>1314.857</c:v>
                      </c:pt>
                      <c:pt idx="23">
                        <c:v>2674.6019999999999</c:v>
                      </c:pt>
                      <c:pt idx="24">
                        <c:v>3160.4050000000002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02'!$D$6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02'!$A$7:$A$31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02'!$D$7:$D$31</c:f>
              <c:numCache>
                <c:formatCode>0.000000%</c:formatCode>
                <c:ptCount val="25"/>
                <c:pt idx="0">
                  <c:v>4.6848230289406909E-8</c:v>
                </c:pt>
                <c:pt idx="1">
                  <c:v>1.9979470056523274E-8</c:v>
                </c:pt>
                <c:pt idx="2">
                  <c:v>3.3921036507920066E-8</c:v>
                </c:pt>
                <c:pt idx="3">
                  <c:v>2.2183261125098704E-8</c:v>
                </c:pt>
                <c:pt idx="4">
                  <c:v>3.4444425085677443E-8</c:v>
                </c:pt>
                <c:pt idx="5">
                  <c:v>1.9146025770008386E-8</c:v>
                </c:pt>
                <c:pt idx="6">
                  <c:v>2.8093041653863684E-8</c:v>
                </c:pt>
                <c:pt idx="7">
                  <c:v>2.3278066494865006E-8</c:v>
                </c:pt>
                <c:pt idx="8">
                  <c:v>5.6179555880989722E-9</c:v>
                </c:pt>
                <c:pt idx="9">
                  <c:v>1.304809947076512E-8</c:v>
                </c:pt>
                <c:pt idx="10">
                  <c:v>4.5279424501148655E-9</c:v>
                </c:pt>
                <c:pt idx="11">
                  <c:v>1.167463898155252E-7</c:v>
                </c:pt>
                <c:pt idx="12">
                  <c:v>1.8342891237389778E-7</c:v>
                </c:pt>
                <c:pt idx="13">
                  <c:v>3.1798473426511338E-7</c:v>
                </c:pt>
                <c:pt idx="14">
                  <c:v>1.7855909588735021E-7</c:v>
                </c:pt>
                <c:pt idx="15">
                  <c:v>1.3903524009748423E-7</c:v>
                </c:pt>
                <c:pt idx="16">
                  <c:v>9.3001378859763556E-8</c:v>
                </c:pt>
                <c:pt idx="17">
                  <c:v>1.0423500241219403E-7</c:v>
                </c:pt>
                <c:pt idx="18">
                  <c:v>6.9707354164655691E-8</c:v>
                </c:pt>
                <c:pt idx="19">
                  <c:v>4.3194998308754981E-8</c:v>
                </c:pt>
                <c:pt idx="20">
                  <c:v>4.6402524420860664E-8</c:v>
                </c:pt>
                <c:pt idx="21">
                  <c:v>3.3246036794152717E-8</c:v>
                </c:pt>
                <c:pt idx="22">
                  <c:v>3.4584036712359088E-8</c:v>
                </c:pt>
                <c:pt idx="23">
                  <c:v>7.0678878664485821E-8</c:v>
                </c:pt>
                <c:pt idx="24">
                  <c:v>1.0820334552162146E-7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595016"/>
        <c:axId val="494594624"/>
      </c:lineChart>
      <c:catAx>
        <c:axId val="494593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4594232"/>
        <c:crosses val="autoZero"/>
        <c:auto val="1"/>
        <c:lblAlgn val="ctr"/>
        <c:lblOffset val="100"/>
        <c:noMultiLvlLbl val="0"/>
      </c:catAx>
      <c:valAx>
        <c:axId val="49459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Millones de 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4593840"/>
        <c:crosses val="autoZero"/>
        <c:crossBetween val="between"/>
      </c:valAx>
      <c:valAx>
        <c:axId val="49459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4595016"/>
        <c:crosses val="max"/>
        <c:crossBetween val="between"/>
      </c:valAx>
      <c:catAx>
        <c:axId val="494595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459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02'!$C$65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02'!$A$66:$A$90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595800"/>
        <c:axId val="4945961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02'!$B$65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Millones)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02'!$A$66:$A$90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02'!$B$66:$B$90</c15:sqref>
                        </c15:formulaRef>
                      </c:ext>
                    </c:extLst>
                    <c:numCache>
                      <c:formatCode>0.000</c:formatCode>
                      <c:ptCount val="25"/>
                      <c:pt idx="0">
                        <c:v>1.488518</c:v>
                      </c:pt>
                      <c:pt idx="1">
                        <c:v>6.3081459999999998</c:v>
                      </c:pt>
                      <c:pt idx="2">
                        <c:v>9.1881140000000006</c:v>
                      </c:pt>
                      <c:pt idx="3">
                        <c:v>5.7732659999999996</c:v>
                      </c:pt>
                      <c:pt idx="4">
                        <c:v>14.381983999999999</c:v>
                      </c:pt>
                      <c:pt idx="5">
                        <c:v>9.2738960000000006</c:v>
                      </c:pt>
                      <c:pt idx="6">
                        <c:v>13.991676999999999</c:v>
                      </c:pt>
                      <c:pt idx="7">
                        <c:v>8.2078140000000008</c:v>
                      </c:pt>
                      <c:pt idx="8">
                        <c:v>3.582703</c:v>
                      </c:pt>
                      <c:pt idx="9">
                        <c:v>4.2160919999999997</c:v>
                      </c:pt>
                      <c:pt idx="10">
                        <c:v>3.6428370000000001</c:v>
                      </c:pt>
                      <c:pt idx="11">
                        <c:v>0.99275800000000003</c:v>
                      </c:pt>
                      <c:pt idx="12">
                        <c:v>1.186763</c:v>
                      </c:pt>
                      <c:pt idx="13">
                        <c:v>2.2491099999999999</c:v>
                      </c:pt>
                      <c:pt idx="14">
                        <c:v>3.9962680000000002</c:v>
                      </c:pt>
                      <c:pt idx="15">
                        <c:v>3.2213280000000002</c:v>
                      </c:pt>
                      <c:pt idx="16">
                        <c:v>4.4266769999999998</c:v>
                      </c:pt>
                      <c:pt idx="17">
                        <c:v>8.3235340000000004</c:v>
                      </c:pt>
                      <c:pt idx="18">
                        <c:v>3.0615399999999999</c:v>
                      </c:pt>
                      <c:pt idx="19">
                        <c:v>2.009004</c:v>
                      </c:pt>
                      <c:pt idx="20">
                        <c:v>3.4654319999999998</c:v>
                      </c:pt>
                      <c:pt idx="21">
                        <c:v>17.508887999999999</c:v>
                      </c:pt>
                      <c:pt idx="22">
                        <c:v>30.783857000000001</c:v>
                      </c:pt>
                      <c:pt idx="23">
                        <c:v>51.005201999999997</c:v>
                      </c:pt>
                      <c:pt idx="24">
                        <c:v>45.102443999999998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02'!$D$65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02'!$A$66:$A$90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02'!$D$66:$D$90</c:f>
              <c:numCache>
                <c:formatCode>0.00000000%</c:formatCode>
                <c:ptCount val="25"/>
                <c:pt idx="0">
                  <c:v>2.4109291107949847E-8</c:v>
                </c:pt>
                <c:pt idx="1">
                  <c:v>9.6465171572671626E-8</c:v>
                </c:pt>
                <c:pt idx="2">
                  <c:v>1.3357305823556076E-7</c:v>
                </c:pt>
                <c:pt idx="3">
                  <c:v>7.8991100399452441E-8</c:v>
                </c:pt>
                <c:pt idx="4">
                  <c:v>1.8765489831760188E-7</c:v>
                </c:pt>
                <c:pt idx="5">
                  <c:v>1.1448970216911903E-7</c:v>
                </c:pt>
                <c:pt idx="6">
                  <c:v>1.6253299204334314E-7</c:v>
                </c:pt>
                <c:pt idx="7">
                  <c:v>9.0303248878225171E-8</c:v>
                </c:pt>
                <c:pt idx="8">
                  <c:v>3.7085627181018533E-8</c:v>
                </c:pt>
                <c:pt idx="9">
                  <c:v>4.0993510896053284E-8</c:v>
                </c:pt>
                <c:pt idx="10">
                  <c:v>3.4295776318643577E-8</c:v>
                </c:pt>
                <c:pt idx="11">
                  <c:v>9.0435594069841324E-9</c:v>
                </c:pt>
                <c:pt idx="12">
                  <c:v>1.0310112269746245E-8</c:v>
                </c:pt>
                <c:pt idx="13">
                  <c:v>1.8322795864871877E-8</c:v>
                </c:pt>
                <c:pt idx="14">
                  <c:v>3.0520479808421223E-8</c:v>
                </c:pt>
                <c:pt idx="15">
                  <c:v>2.3248802242050453E-8</c:v>
                </c:pt>
                <c:pt idx="16">
                  <c:v>3.0575967690855578E-8</c:v>
                </c:pt>
                <c:pt idx="17">
                  <c:v>5.6551194945273943E-8</c:v>
                </c:pt>
                <c:pt idx="18">
                  <c:v>2.123306344611689E-8</c:v>
                </c:pt>
                <c:pt idx="19">
                  <c:v>1.3425247648214037E-8</c:v>
                </c:pt>
                <c:pt idx="20">
                  <c:v>2.2331798721040429E-8</c:v>
                </c:pt>
                <c:pt idx="21">
                  <c:v>1.0837890209718138E-7</c:v>
                </c:pt>
                <c:pt idx="22">
                  <c:v>1.8474201171926574E-7</c:v>
                </c:pt>
                <c:pt idx="23">
                  <c:v>2.9401078961428076E-7</c:v>
                </c:pt>
                <c:pt idx="24">
                  <c:v>2.5130915502516408E-7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596976"/>
        <c:axId val="494596584"/>
      </c:lineChart>
      <c:catAx>
        <c:axId val="494595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4596192"/>
        <c:crosses val="autoZero"/>
        <c:auto val="1"/>
        <c:lblAlgn val="ctr"/>
        <c:lblOffset val="100"/>
        <c:noMultiLvlLbl val="0"/>
      </c:catAx>
      <c:valAx>
        <c:axId val="4945961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4595800"/>
        <c:crosses val="autoZero"/>
        <c:crossBetween val="between"/>
      </c:valAx>
      <c:valAx>
        <c:axId val="4945965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4596976"/>
        <c:crosses val="max"/>
        <c:crossBetween val="between"/>
      </c:valAx>
      <c:catAx>
        <c:axId val="49459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4596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02'!$C$35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02'!$A$36:$A$60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597760"/>
        <c:axId val="451588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02'!$B$35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02'!$A$36:$A$60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02'!$B$36:$B$60</c15:sqref>
                        </c15:formulaRef>
                      </c:ext>
                    </c:extLst>
                    <c:numCache>
                      <c:formatCode>0.000</c:formatCode>
                      <c:ptCount val="25"/>
                      <c:pt idx="0">
                        <c:v>1.488518</c:v>
                      </c:pt>
                      <c:pt idx="1">
                        <c:v>6.3081459999999998</c:v>
                      </c:pt>
                      <c:pt idx="2">
                        <c:v>9.1881140000000006</c:v>
                      </c:pt>
                      <c:pt idx="3">
                        <c:v>5.7732659999999996</c:v>
                      </c:pt>
                      <c:pt idx="4">
                        <c:v>14.381983999999999</c:v>
                      </c:pt>
                      <c:pt idx="5">
                        <c:v>9.2738960000000006</c:v>
                      </c:pt>
                      <c:pt idx="6">
                        <c:v>13.991676999999999</c:v>
                      </c:pt>
                      <c:pt idx="7">
                        <c:v>8.2078140000000008</c:v>
                      </c:pt>
                      <c:pt idx="8">
                        <c:v>3.582703</c:v>
                      </c:pt>
                      <c:pt idx="9">
                        <c:v>4.2160919999999997</c:v>
                      </c:pt>
                      <c:pt idx="10">
                        <c:v>3.6428370000000001</c:v>
                      </c:pt>
                      <c:pt idx="11">
                        <c:v>0.99275800000000003</c:v>
                      </c:pt>
                      <c:pt idx="12">
                        <c:v>1.186763</c:v>
                      </c:pt>
                      <c:pt idx="13">
                        <c:v>2.2491099999999999</c:v>
                      </c:pt>
                      <c:pt idx="14">
                        <c:v>3.9962680000000002</c:v>
                      </c:pt>
                      <c:pt idx="15">
                        <c:v>3.2213280000000002</c:v>
                      </c:pt>
                      <c:pt idx="16">
                        <c:v>4.4266769999999998</c:v>
                      </c:pt>
                      <c:pt idx="17">
                        <c:v>8.3235340000000004</c:v>
                      </c:pt>
                      <c:pt idx="18">
                        <c:v>3.0615399999999999</c:v>
                      </c:pt>
                      <c:pt idx="19">
                        <c:v>2.009004</c:v>
                      </c:pt>
                      <c:pt idx="20">
                        <c:v>3.4654319999999998</c:v>
                      </c:pt>
                      <c:pt idx="21">
                        <c:v>17.508887999999999</c:v>
                      </c:pt>
                      <c:pt idx="22">
                        <c:v>30.783857000000001</c:v>
                      </c:pt>
                      <c:pt idx="23">
                        <c:v>51.005201999999997</c:v>
                      </c:pt>
                      <c:pt idx="24">
                        <c:v>45.102443999999998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02'!$D$35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02'!$A$36:$A$60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02'!$D$36:$D$60</c:f>
              <c:numCache>
                <c:formatCode>0.000000%</c:formatCode>
                <c:ptCount val="25"/>
                <c:pt idx="0">
                  <c:v>3.6094427564144644E-6</c:v>
                </c:pt>
                <c:pt idx="1">
                  <c:v>1.2800728647664693E-5</c:v>
                </c:pt>
                <c:pt idx="2">
                  <c:v>1.6465404591571121E-5</c:v>
                </c:pt>
                <c:pt idx="3">
                  <c:v>7.0661186362467426E-6</c:v>
                </c:pt>
                <c:pt idx="4">
                  <c:v>1.5546867600378222E-5</c:v>
                </c:pt>
                <c:pt idx="5">
                  <c:v>9.5449622790933229E-6</c:v>
                </c:pt>
                <c:pt idx="6">
                  <c:v>1.3118077578966905E-5</c:v>
                </c:pt>
                <c:pt idx="7">
                  <c:v>8.3375679692388639E-6</c:v>
                </c:pt>
                <c:pt idx="8">
                  <c:v>4.156935570612559E-6</c:v>
                </c:pt>
                <c:pt idx="9">
                  <c:v>4.2208794237757942E-6</c:v>
                </c:pt>
                <c:pt idx="10">
                  <c:v>3.7094760696147809E-6</c:v>
                </c:pt>
                <c:pt idx="11">
                  <c:v>1.0137073536540947E-6</c:v>
                </c:pt>
                <c:pt idx="12">
                  <c:v>1.2533856809064547E-6</c:v>
                </c:pt>
                <c:pt idx="13">
                  <c:v>1.9210869814806402E-6</c:v>
                </c:pt>
                <c:pt idx="14">
                  <c:v>2.7265946664234532E-6</c:v>
                </c:pt>
                <c:pt idx="15">
                  <c:v>1.9812565997017958E-6</c:v>
                </c:pt>
                <c:pt idx="16">
                  <c:v>2.1341971898774678E-6</c:v>
                </c:pt>
                <c:pt idx="17">
                  <c:v>3.4115299743034491E-6</c:v>
                </c:pt>
                <c:pt idx="18">
                  <c:v>1.3093482707884918E-6</c:v>
                </c:pt>
                <c:pt idx="19">
                  <c:v>6.9995704367552169E-7</c:v>
                </c:pt>
                <c:pt idx="20">
                  <c:v>1.0331769244038497E-6</c:v>
                </c:pt>
                <c:pt idx="21">
                  <c:v>4.7364881760747919E-6</c:v>
                </c:pt>
                <c:pt idx="22">
                  <c:v>8.0969264386622441E-6</c:v>
                </c:pt>
                <c:pt idx="23">
                  <c:v>1.3478605352929481E-5</c:v>
                </c:pt>
                <c:pt idx="24">
                  <c:v>1.54418036042899E-5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8792"/>
        <c:axId val="451588400"/>
      </c:lineChart>
      <c:catAx>
        <c:axId val="494597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8008"/>
        <c:crosses val="autoZero"/>
        <c:auto val="1"/>
        <c:lblAlgn val="ctr"/>
        <c:lblOffset val="100"/>
        <c:noMultiLvlLbl val="0"/>
      </c:catAx>
      <c:valAx>
        <c:axId val="45158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Millones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4597760"/>
        <c:crosses val="autoZero"/>
        <c:crossBetween val="between"/>
      </c:valAx>
      <c:valAx>
        <c:axId val="4515884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8792"/>
        <c:crosses val="max"/>
        <c:crossBetween val="between"/>
      </c:valAx>
      <c:catAx>
        <c:axId val="451588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88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02'!$C$95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02'!$A$96:$A$120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89576"/>
        <c:axId val="451589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02'!$B$95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a Colombia (US$)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02'!$A$96:$A$120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02'!$B$96:$B$120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193.2</c:v>
                      </c:pt>
                      <c:pt idx="1">
                        <c:v>98.457999999999998</c:v>
                      </c:pt>
                      <c:pt idx="2">
                        <c:v>189.28800000000001</c:v>
                      </c:pt>
                      <c:pt idx="3">
                        <c:v>181.245</c:v>
                      </c:pt>
                      <c:pt idx="4">
                        <c:v>318.63600000000002</c:v>
                      </c:pt>
                      <c:pt idx="5">
                        <c:v>186.023</c:v>
                      </c:pt>
                      <c:pt idx="6">
                        <c:v>299.63900000000001</c:v>
                      </c:pt>
                      <c:pt idx="7">
                        <c:v>229.15799999999999</c:v>
                      </c:pt>
                      <c:pt idx="8">
                        <c:v>48.418999999999997</c:v>
                      </c:pt>
                      <c:pt idx="9">
                        <c:v>130.333</c:v>
                      </c:pt>
                      <c:pt idx="10">
                        <c:v>44.466000000000001</c:v>
                      </c:pt>
                      <c:pt idx="11">
                        <c:v>1143.337</c:v>
                      </c:pt>
                      <c:pt idx="12">
                        <c:v>1736.789</c:v>
                      </c:pt>
                      <c:pt idx="13">
                        <c:v>3722.8020000000001</c:v>
                      </c:pt>
                      <c:pt idx="14">
                        <c:v>2617.0740000000001</c:v>
                      </c:pt>
                      <c:pt idx="15">
                        <c:v>2260.576</c:v>
                      </c:pt>
                      <c:pt idx="16">
                        <c:v>1929.002</c:v>
                      </c:pt>
                      <c:pt idx="17">
                        <c:v>2543.1509999999998</c:v>
                      </c:pt>
                      <c:pt idx="18">
                        <c:v>1629.9090000000001</c:v>
                      </c:pt>
                      <c:pt idx="19">
                        <c:v>1239.7750000000001</c:v>
                      </c:pt>
                      <c:pt idx="20">
                        <c:v>1556.4110000000001</c:v>
                      </c:pt>
                      <c:pt idx="21">
                        <c:v>1228.972</c:v>
                      </c:pt>
                      <c:pt idx="22">
                        <c:v>1314.857</c:v>
                      </c:pt>
                      <c:pt idx="23">
                        <c:v>2674.6019999999999</c:v>
                      </c:pt>
                      <c:pt idx="24">
                        <c:v>3160.4050000000002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02'!$D$95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02'!$A$96:$A$120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02'!$D$96:$D$120</c:f>
              <c:numCache>
                <c:formatCode>0.00000000%</c:formatCode>
                <c:ptCount val="25"/>
                <c:pt idx="0">
                  <c:v>3.1292299065620374E-9</c:v>
                </c:pt>
                <c:pt idx="1">
                  <c:v>1.5056353899706987E-9</c:v>
                </c:pt>
                <c:pt idx="2">
                  <c:v>2.7517918309778075E-9</c:v>
                </c:pt>
                <c:pt idx="3">
                  <c:v>2.4798341167544951E-9</c:v>
                </c:pt>
                <c:pt idx="4">
                  <c:v>4.1575353011328196E-9</c:v>
                </c:pt>
                <c:pt idx="5">
                  <c:v>2.2965232591141875E-9</c:v>
                </c:pt>
                <c:pt idx="6">
                  <c:v>3.480728093056701E-9</c:v>
                </c:pt>
                <c:pt idx="7">
                  <c:v>2.5212208642199155E-9</c:v>
                </c:pt>
                <c:pt idx="8">
                  <c:v>5.011995084375502E-10</c:v>
                </c:pt>
                <c:pt idx="9">
                  <c:v>1.2672416198734069E-9</c:v>
                </c:pt>
                <c:pt idx="10">
                  <c:v>4.1862866490727019E-10</c:v>
                </c:pt>
                <c:pt idx="11">
                  <c:v>1.0415263419386211E-8</c:v>
                </c:pt>
                <c:pt idx="12">
                  <c:v>1.50885135270145E-8</c:v>
                </c:pt>
                <c:pt idx="13">
                  <c:v>3.0328503759859119E-8</c:v>
                </c:pt>
                <c:pt idx="14">
                  <c:v>1.9987236635316792E-8</c:v>
                </c:pt>
                <c:pt idx="15">
                  <c:v>1.6314912476197843E-8</c:v>
                </c:pt>
                <c:pt idx="16">
                  <c:v>1.3324013210721225E-8</c:v>
                </c:pt>
                <c:pt idx="17">
                  <c:v>1.7278505497336629E-8</c:v>
                </c:pt>
                <c:pt idx="18">
                  <c:v>1.1304102251937567E-8</c:v>
                </c:pt>
                <c:pt idx="19">
                  <c:v>8.2848448301071388E-9</c:v>
                </c:pt>
                <c:pt idx="20">
                  <c:v>1.0029761709135617E-8</c:v>
                </c:pt>
                <c:pt idx="21">
                  <c:v>7.6072584431505413E-9</c:v>
                </c:pt>
                <c:pt idx="22">
                  <c:v>7.8908022247880941E-9</c:v>
                </c:pt>
                <c:pt idx="23">
                  <c:v>1.5417287160708326E-8</c:v>
                </c:pt>
                <c:pt idx="24">
                  <c:v>1.7609660134765732E-8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90752"/>
        <c:axId val="451590360"/>
      </c:lineChart>
      <c:catAx>
        <c:axId val="451589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9968"/>
        <c:crosses val="autoZero"/>
        <c:auto val="1"/>
        <c:lblAlgn val="ctr"/>
        <c:lblOffset val="100"/>
        <c:noMultiLvlLbl val="0"/>
      </c:catAx>
      <c:valAx>
        <c:axId val="45158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9576"/>
        <c:crosses val="autoZero"/>
        <c:crossBetween val="between"/>
      </c:valAx>
      <c:valAx>
        <c:axId val="4515903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90752"/>
        <c:crosses val="max"/>
        <c:crossBetween val="between"/>
      </c:valAx>
      <c:catAx>
        <c:axId val="451590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90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00'!$C$6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00'!$A$7:$A$31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167680"/>
        <c:axId val="493419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00'!$B$6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00'!$A$7:$A$31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00'!$B$7:$B$31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734.10299999999995</c:v>
                      </c:pt>
                      <c:pt idx="1">
                        <c:v>1414.192</c:v>
                      </c:pt>
                      <c:pt idx="2">
                        <c:v>2008.502</c:v>
                      </c:pt>
                      <c:pt idx="3">
                        <c:v>2032.5329999999999</c:v>
                      </c:pt>
                      <c:pt idx="4">
                        <c:v>2091.5880000000002</c:v>
                      </c:pt>
                      <c:pt idx="5">
                        <c:v>1953.7819999999999</c:v>
                      </c:pt>
                      <c:pt idx="6">
                        <c:v>1089.6410000000001</c:v>
                      </c:pt>
                      <c:pt idx="7">
                        <c:v>943.56700000000001</c:v>
                      </c:pt>
                      <c:pt idx="8">
                        <c:v>1843.0740000000001</c:v>
                      </c:pt>
                      <c:pt idx="9">
                        <c:v>1791.836</c:v>
                      </c:pt>
                      <c:pt idx="10">
                        <c:v>1957.27</c:v>
                      </c:pt>
                      <c:pt idx="11">
                        <c:v>1236.923</c:v>
                      </c:pt>
                      <c:pt idx="12">
                        <c:v>1441.682</c:v>
                      </c:pt>
                      <c:pt idx="13">
                        <c:v>2121.6509999999998</c:v>
                      </c:pt>
                      <c:pt idx="14">
                        <c:v>3450.0210000000002</c:v>
                      </c:pt>
                      <c:pt idx="15">
                        <c:v>1953.683</c:v>
                      </c:pt>
                      <c:pt idx="16">
                        <c:v>2639.74</c:v>
                      </c:pt>
                      <c:pt idx="17">
                        <c:v>1717.326</c:v>
                      </c:pt>
                      <c:pt idx="18">
                        <c:v>1575.6310000000001</c:v>
                      </c:pt>
                      <c:pt idx="19">
                        <c:v>1504.893</c:v>
                      </c:pt>
                      <c:pt idx="20">
                        <c:v>972.726</c:v>
                      </c:pt>
                      <c:pt idx="21">
                        <c:v>1055.278</c:v>
                      </c:pt>
                      <c:pt idx="22">
                        <c:v>1403.4190000000001</c:v>
                      </c:pt>
                      <c:pt idx="23">
                        <c:v>1707.6569999999999</c:v>
                      </c:pt>
                      <c:pt idx="24">
                        <c:v>2333.547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00'!$D$6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00'!$A$7:$A$31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00'!$D$7:$D$31</c:f>
              <c:numCache>
                <c:formatCode>0.0000%</c:formatCode>
                <c:ptCount val="25"/>
                <c:pt idx="0">
                  <c:v>1.780094534168969E-5</c:v>
                </c:pt>
                <c:pt idx="1">
                  <c:v>2.8697319383061569E-5</c:v>
                </c:pt>
                <c:pt idx="2">
                  <c:v>3.5993021041075219E-5</c:v>
                </c:pt>
                <c:pt idx="3">
                  <c:v>2.4876940210422488E-5</c:v>
                </c:pt>
                <c:pt idx="4">
                  <c:v>2.2609983233564919E-5</c:v>
                </c:pt>
                <c:pt idx="5">
                  <c:v>2.0108890041004891E-5</c:v>
                </c:pt>
                <c:pt idx="6">
                  <c:v>1.0216070004491297E-5</c:v>
                </c:pt>
                <c:pt idx="7">
                  <c:v>9.5848346417582155E-6</c:v>
                </c:pt>
                <c:pt idx="8">
                  <c:v>2.1384803233399956E-5</c:v>
                </c:pt>
                <c:pt idx="9">
                  <c:v>1.7938706515846248E-5</c:v>
                </c:pt>
                <c:pt idx="10">
                  <c:v>1.9930746906257191E-5</c:v>
                </c:pt>
                <c:pt idx="11">
                  <c:v>1.2630247663618766E-5</c:v>
                </c:pt>
                <c:pt idx="12">
                  <c:v>1.5226153623095593E-5</c:v>
                </c:pt>
                <c:pt idx="13">
                  <c:v>1.812217328341158E-5</c:v>
                </c:pt>
                <c:pt idx="14">
                  <c:v>2.3538984016209394E-5</c:v>
                </c:pt>
                <c:pt idx="15">
                  <c:v>1.2015998797623848E-5</c:v>
                </c:pt>
                <c:pt idx="16">
                  <c:v>1.2726760253813745E-5</c:v>
                </c:pt>
                <c:pt idx="17">
                  <c:v>7.038727930528842E-6</c:v>
                </c:pt>
                <c:pt idx="18">
                  <c:v>6.7386012439842122E-6</c:v>
                </c:pt>
                <c:pt idx="19">
                  <c:v>5.2431974019364164E-6</c:v>
                </c:pt>
                <c:pt idx="20">
                  <c:v>2.9000657261999633E-6</c:v>
                </c:pt>
                <c:pt idx="21">
                  <c:v>2.8547282782732145E-6</c:v>
                </c:pt>
                <c:pt idx="22">
                  <c:v>3.6913439422554915E-6</c:v>
                </c:pt>
                <c:pt idx="23">
                  <c:v>4.512644569306382E-6</c:v>
                </c:pt>
                <c:pt idx="24">
                  <c:v>7.9894061783835681E-6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20680"/>
        <c:axId val="493420288"/>
      </c:lineChart>
      <c:catAx>
        <c:axId val="503167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419896"/>
        <c:crosses val="autoZero"/>
        <c:auto val="1"/>
        <c:lblAlgn val="ctr"/>
        <c:lblOffset val="100"/>
        <c:noMultiLvlLbl val="0"/>
      </c:catAx>
      <c:valAx>
        <c:axId val="49341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Miles de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3167680"/>
        <c:crosses val="autoZero"/>
        <c:crossBetween val="between"/>
      </c:valAx>
      <c:valAx>
        <c:axId val="4934202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420680"/>
        <c:crosses val="max"/>
        <c:crossBetween val="between"/>
      </c:valAx>
      <c:catAx>
        <c:axId val="493420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3420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02'!$C$124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02'!$A$125:$A$149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91536"/>
        <c:axId val="4515919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02'!$B$124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02'!$A$125:$A$149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02'!$B$125:$B$149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1.681718</c:v>
                      </c:pt>
                      <c:pt idx="1">
                        <c:v>6.4066039999999997</c:v>
                      </c:pt>
                      <c:pt idx="2">
                        <c:v>9.377402</c:v>
                      </c:pt>
                      <c:pt idx="3">
                        <c:v>5.9545109999999992</c:v>
                      </c:pt>
                      <c:pt idx="4">
                        <c:v>14.700619999999999</c:v>
                      </c:pt>
                      <c:pt idx="5">
                        <c:v>9.4599190000000011</c:v>
                      </c:pt>
                      <c:pt idx="6">
                        <c:v>14.291315999999998</c:v>
                      </c:pt>
                      <c:pt idx="7">
                        <c:v>8.4369720000000008</c:v>
                      </c:pt>
                      <c:pt idx="8">
                        <c:v>3.631122</c:v>
                      </c:pt>
                      <c:pt idx="9">
                        <c:v>4.346425</c:v>
                      </c:pt>
                      <c:pt idx="10">
                        <c:v>3.687303</c:v>
                      </c:pt>
                      <c:pt idx="11">
                        <c:v>2.1360950000000001</c:v>
                      </c:pt>
                      <c:pt idx="12">
                        <c:v>2.9235519999999999</c:v>
                      </c:pt>
                      <c:pt idx="13">
                        <c:v>5.9719119999999997</c:v>
                      </c:pt>
                      <c:pt idx="14">
                        <c:v>6.6133420000000003</c:v>
                      </c:pt>
                      <c:pt idx="15">
                        <c:v>5.4819040000000001</c:v>
                      </c:pt>
                      <c:pt idx="16">
                        <c:v>6.3556789999999994</c:v>
                      </c:pt>
                      <c:pt idx="17">
                        <c:v>10.866685</c:v>
                      </c:pt>
                      <c:pt idx="18">
                        <c:v>4.6914490000000004</c:v>
                      </c:pt>
                      <c:pt idx="19">
                        <c:v>3.2487789999999999</c:v>
                      </c:pt>
                      <c:pt idx="20">
                        <c:v>5.0218429999999996</c:v>
                      </c:pt>
                      <c:pt idx="21">
                        <c:v>18.737859999999998</c:v>
                      </c:pt>
                      <c:pt idx="22">
                        <c:v>32.098714000000001</c:v>
                      </c:pt>
                      <c:pt idx="23">
                        <c:v>53.679803999999997</c:v>
                      </c:pt>
                      <c:pt idx="24">
                        <c:v>48.262848999999996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02'!$D$124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02'!$A$125:$A$149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02'!$D$125:$D$149</c:f>
              <c:numCache>
                <c:formatCode>0.00000%</c:formatCode>
                <c:ptCount val="25"/>
                <c:pt idx="0">
                  <c:v>4.0779250593085308E-6</c:v>
                </c:pt>
                <c:pt idx="1">
                  <c:v>1.3000523348229927E-5</c:v>
                </c:pt>
                <c:pt idx="2">
                  <c:v>1.680461495665032E-5</c:v>
                </c:pt>
                <c:pt idx="3">
                  <c:v>7.2879512474977295E-6</c:v>
                </c:pt>
                <c:pt idx="4">
                  <c:v>1.5891311851234998E-5</c:v>
                </c:pt>
                <c:pt idx="5">
                  <c:v>9.7364225367934074E-6</c:v>
                </c:pt>
                <c:pt idx="6">
                  <c:v>1.3399007995505538E-5</c:v>
                </c:pt>
                <c:pt idx="7">
                  <c:v>8.5703486341875144E-6</c:v>
                </c:pt>
                <c:pt idx="8">
                  <c:v>4.2131151264935496E-6</c:v>
                </c:pt>
                <c:pt idx="9">
                  <c:v>4.3513604184834446E-6</c:v>
                </c:pt>
                <c:pt idx="10">
                  <c:v>3.7547554941159302E-6</c:v>
                </c:pt>
                <c:pt idx="11">
                  <c:v>2.1811712518093459E-6</c:v>
                </c:pt>
                <c:pt idx="12">
                  <c:v>3.0876748046454321E-6</c:v>
                </c:pt>
                <c:pt idx="13">
                  <c:v>5.1009343241317731E-6</c:v>
                </c:pt>
                <c:pt idx="14">
                  <c:v>4.512185625296955E-6</c:v>
                </c:pt>
                <c:pt idx="15">
                  <c:v>3.3716090006766375E-6</c:v>
                </c:pt>
                <c:pt idx="16">
                  <c:v>3.0642109784751029E-6</c:v>
                </c:pt>
                <c:pt idx="17">
                  <c:v>4.4538799984253896E-6</c:v>
                </c:pt>
                <c:pt idx="18">
                  <c:v>2.0064218124350491E-6</c:v>
                </c:pt>
                <c:pt idx="19">
                  <c:v>1.1319070267630712E-6</c:v>
                </c:pt>
                <c:pt idx="20">
                  <c:v>1.4972021686124561E-6</c:v>
                </c:pt>
                <c:pt idx="21">
                  <c:v>5.0689485440163187E-6</c:v>
                </c:pt>
                <c:pt idx="22">
                  <c:v>8.4427668057858361E-6</c:v>
                </c:pt>
                <c:pt idx="23">
                  <c:v>1.418539413957434E-5</c:v>
                </c:pt>
                <c:pt idx="24">
                  <c:v>1.6523837059506111E-5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92712"/>
        <c:axId val="451592320"/>
      </c:lineChart>
      <c:catAx>
        <c:axId val="451591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91928"/>
        <c:crosses val="autoZero"/>
        <c:auto val="1"/>
        <c:lblAlgn val="ctr"/>
        <c:lblOffset val="100"/>
        <c:noMultiLvlLbl val="0"/>
      </c:catAx>
      <c:valAx>
        <c:axId val="45159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91536"/>
        <c:crosses val="autoZero"/>
        <c:crossBetween val="between"/>
        <c:majorUnit val="80000"/>
      </c:valAx>
      <c:valAx>
        <c:axId val="451592320"/>
        <c:scaling>
          <c:orientation val="minMax"/>
          <c:max val="2.0000000000000008E-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92712"/>
        <c:crosses val="max"/>
        <c:crossBetween val="between"/>
        <c:majorUnit val="4.0000000000000015E-6"/>
      </c:valAx>
      <c:catAx>
        <c:axId val="451592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92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02'!$C$153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02'!$A$154:$A$178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93496"/>
        <c:axId val="451593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02'!$B$153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02'!$A$154:$A$178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02'!$B$154:$B$178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1.681718</c:v>
                      </c:pt>
                      <c:pt idx="1">
                        <c:v>6.4066039999999997</c:v>
                      </c:pt>
                      <c:pt idx="2">
                        <c:v>9.377402</c:v>
                      </c:pt>
                      <c:pt idx="3">
                        <c:v>5.9545109999999992</c:v>
                      </c:pt>
                      <c:pt idx="4">
                        <c:v>14.700619999999999</c:v>
                      </c:pt>
                      <c:pt idx="5">
                        <c:v>9.4599190000000011</c:v>
                      </c:pt>
                      <c:pt idx="6">
                        <c:v>14.291315999999998</c:v>
                      </c:pt>
                      <c:pt idx="7">
                        <c:v>8.4369720000000008</c:v>
                      </c:pt>
                      <c:pt idx="8">
                        <c:v>3.631122</c:v>
                      </c:pt>
                      <c:pt idx="9">
                        <c:v>4.346425</c:v>
                      </c:pt>
                      <c:pt idx="10">
                        <c:v>3.687303</c:v>
                      </c:pt>
                      <c:pt idx="11">
                        <c:v>2.1360950000000001</c:v>
                      </c:pt>
                      <c:pt idx="12">
                        <c:v>2.9235519999999999</c:v>
                      </c:pt>
                      <c:pt idx="13">
                        <c:v>5.9719119999999997</c:v>
                      </c:pt>
                      <c:pt idx="14">
                        <c:v>6.6133420000000003</c:v>
                      </c:pt>
                      <c:pt idx="15">
                        <c:v>5.4819040000000001</c:v>
                      </c:pt>
                      <c:pt idx="16">
                        <c:v>6.3556789999999994</c:v>
                      </c:pt>
                      <c:pt idx="17">
                        <c:v>10.866685</c:v>
                      </c:pt>
                      <c:pt idx="18">
                        <c:v>4.6914490000000004</c:v>
                      </c:pt>
                      <c:pt idx="19">
                        <c:v>3.2487789999999999</c:v>
                      </c:pt>
                      <c:pt idx="20">
                        <c:v>5.0218429999999996</c:v>
                      </c:pt>
                      <c:pt idx="21">
                        <c:v>18.737859999999998</c:v>
                      </c:pt>
                      <c:pt idx="22">
                        <c:v>32.098714000000001</c:v>
                      </c:pt>
                      <c:pt idx="23">
                        <c:v>53.679803999999997</c:v>
                      </c:pt>
                      <c:pt idx="24">
                        <c:v>48.262848999999996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02'!$D$153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02'!$A$154:$A$178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02'!$D$154:$D$178</c:f>
              <c:numCache>
                <c:formatCode>0.0000000%</c:formatCode>
                <c:ptCount val="25"/>
                <c:pt idx="0">
                  <c:v>2.7238521014511884E-8</c:v>
                </c:pt>
                <c:pt idx="1">
                  <c:v>9.7970806962642326E-8</c:v>
                </c:pt>
                <c:pt idx="2">
                  <c:v>1.3632485006653858E-7</c:v>
                </c:pt>
                <c:pt idx="3">
                  <c:v>8.1470934516206919E-8</c:v>
                </c:pt>
                <c:pt idx="4">
                  <c:v>1.9181243361873468E-7</c:v>
                </c:pt>
                <c:pt idx="5">
                  <c:v>1.1678622542823321E-7</c:v>
                </c:pt>
                <c:pt idx="6">
                  <c:v>1.6601372013639982E-7</c:v>
                </c:pt>
                <c:pt idx="7">
                  <c:v>9.2824469742445083E-8</c:v>
                </c:pt>
                <c:pt idx="8">
                  <c:v>3.7586826689456081E-8</c:v>
                </c:pt>
                <c:pt idx="9">
                  <c:v>4.2260752515926694E-8</c:v>
                </c:pt>
                <c:pt idx="10">
                  <c:v>3.4714404983550848E-8</c:v>
                </c:pt>
                <c:pt idx="11">
                  <c:v>1.9458822826370345E-8</c:v>
                </c:pt>
                <c:pt idx="12">
                  <c:v>2.5398625796760745E-8</c:v>
                </c:pt>
                <c:pt idx="13">
                  <c:v>4.8651299624730993E-8</c:v>
                </c:pt>
                <c:pt idx="14">
                  <c:v>5.0507716443738022E-8</c:v>
                </c:pt>
                <c:pt idx="15">
                  <c:v>3.9563714718248302E-8</c:v>
                </c:pt>
                <c:pt idx="16">
                  <c:v>4.389998090157681E-8</c:v>
                </c:pt>
                <c:pt idx="17">
                  <c:v>7.3829700442610572E-8</c:v>
                </c:pt>
                <c:pt idx="18">
                  <c:v>3.2537165698054462E-8</c:v>
                </c:pt>
                <c:pt idx="19">
                  <c:v>2.1710092478321176E-8</c:v>
                </c:pt>
                <c:pt idx="20">
                  <c:v>3.2361560430176039E-8</c:v>
                </c:pt>
                <c:pt idx="21">
                  <c:v>1.1598616054033191E-7</c:v>
                </c:pt>
                <c:pt idx="22">
                  <c:v>1.9263281394405383E-7</c:v>
                </c:pt>
                <c:pt idx="23">
                  <c:v>3.0942807677498908E-7</c:v>
                </c:pt>
                <c:pt idx="24">
                  <c:v>2.6891881515992982E-7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94672"/>
        <c:axId val="451594280"/>
      </c:lineChart>
      <c:catAx>
        <c:axId val="451593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93888"/>
        <c:crosses val="autoZero"/>
        <c:auto val="1"/>
        <c:lblAlgn val="ctr"/>
        <c:lblOffset val="100"/>
        <c:noMultiLvlLbl val="0"/>
      </c:catAx>
      <c:valAx>
        <c:axId val="4515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93496"/>
        <c:crosses val="autoZero"/>
        <c:crossBetween val="between"/>
        <c:majorUnit val="4000"/>
      </c:valAx>
      <c:valAx>
        <c:axId val="4515942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94672"/>
        <c:crosses val="max"/>
        <c:crossBetween val="between"/>
      </c:valAx>
      <c:catAx>
        <c:axId val="451594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94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02'!$D$183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02'!$A$184:$A$208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95456"/>
        <c:axId val="4551614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02'!$B$183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02'!$A$184:$A$208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02'!$B$184:$B$208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1.681718</c:v>
                      </c:pt>
                      <c:pt idx="1">
                        <c:v>6.4066039999999997</c:v>
                      </c:pt>
                      <c:pt idx="2">
                        <c:v>9.377402</c:v>
                      </c:pt>
                      <c:pt idx="3">
                        <c:v>5.9545109999999992</c:v>
                      </c:pt>
                      <c:pt idx="4">
                        <c:v>14.700619999999999</c:v>
                      </c:pt>
                      <c:pt idx="5">
                        <c:v>9.4599190000000011</c:v>
                      </c:pt>
                      <c:pt idx="6">
                        <c:v>14.291315999999998</c:v>
                      </c:pt>
                      <c:pt idx="7">
                        <c:v>8.4369720000000008</c:v>
                      </c:pt>
                      <c:pt idx="8">
                        <c:v>3.631122</c:v>
                      </c:pt>
                      <c:pt idx="9">
                        <c:v>4.346425</c:v>
                      </c:pt>
                      <c:pt idx="10">
                        <c:v>3.687303</c:v>
                      </c:pt>
                      <c:pt idx="11">
                        <c:v>2.1360950000000001</c:v>
                      </c:pt>
                      <c:pt idx="12">
                        <c:v>2.9235519999999999</c:v>
                      </c:pt>
                      <c:pt idx="13">
                        <c:v>5.9719119999999997</c:v>
                      </c:pt>
                      <c:pt idx="14">
                        <c:v>6.6133420000000003</c:v>
                      </c:pt>
                      <c:pt idx="15">
                        <c:v>5.4819040000000001</c:v>
                      </c:pt>
                      <c:pt idx="16">
                        <c:v>6.3556789999999994</c:v>
                      </c:pt>
                      <c:pt idx="17">
                        <c:v>10.866685</c:v>
                      </c:pt>
                      <c:pt idx="18">
                        <c:v>4.6914490000000004</c:v>
                      </c:pt>
                      <c:pt idx="19">
                        <c:v>3.2487789999999999</c:v>
                      </c:pt>
                      <c:pt idx="20">
                        <c:v>5.0218429999999996</c:v>
                      </c:pt>
                      <c:pt idx="21">
                        <c:v>18.737859999999998</c:v>
                      </c:pt>
                      <c:pt idx="22">
                        <c:v>32.098714000000001</c:v>
                      </c:pt>
                      <c:pt idx="23">
                        <c:v>53.679803999999997</c:v>
                      </c:pt>
                      <c:pt idx="24">
                        <c:v>48.262848999999996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02'!$C$183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02'!$A$184:$A$208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02'!$C$184:$C$208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0.84085900000000002</c:v>
                      </c:pt>
                      <c:pt idx="1">
                        <c:v>3.2033019999999999</c:v>
                      </c:pt>
                      <c:pt idx="2">
                        <c:v>4.688701</c:v>
                      </c:pt>
                      <c:pt idx="3">
                        <c:v>2.9772554999999996</c:v>
                      </c:pt>
                      <c:pt idx="4">
                        <c:v>7.3503099999999995</c:v>
                      </c:pt>
                      <c:pt idx="5">
                        <c:v>4.7299595000000005</c:v>
                      </c:pt>
                      <c:pt idx="6">
                        <c:v>7.1456579999999992</c:v>
                      </c:pt>
                      <c:pt idx="7">
                        <c:v>4.2184860000000004</c:v>
                      </c:pt>
                      <c:pt idx="8">
                        <c:v>1.815561</c:v>
                      </c:pt>
                      <c:pt idx="9">
                        <c:v>2.1732125</c:v>
                      </c:pt>
                      <c:pt idx="10">
                        <c:v>1.8436515</c:v>
                      </c:pt>
                      <c:pt idx="11">
                        <c:v>1.0680475</c:v>
                      </c:pt>
                      <c:pt idx="12">
                        <c:v>1.461776</c:v>
                      </c:pt>
                      <c:pt idx="13">
                        <c:v>2.9859559999999998</c:v>
                      </c:pt>
                      <c:pt idx="14">
                        <c:v>3.3066710000000001</c:v>
                      </c:pt>
                      <c:pt idx="15">
                        <c:v>2.7409520000000001</c:v>
                      </c:pt>
                      <c:pt idx="16">
                        <c:v>3.1778394999999997</c:v>
                      </c:pt>
                      <c:pt idx="17">
                        <c:v>5.4333425000000002</c:v>
                      </c:pt>
                      <c:pt idx="18">
                        <c:v>2.3457245000000002</c:v>
                      </c:pt>
                      <c:pt idx="19">
                        <c:v>1.6243894999999999</c:v>
                      </c:pt>
                      <c:pt idx="20">
                        <c:v>2.5109214999999998</c:v>
                      </c:pt>
                      <c:pt idx="21">
                        <c:v>9.3689299999999989</c:v>
                      </c:pt>
                      <c:pt idx="22">
                        <c:v>16.049357000000001</c:v>
                      </c:pt>
                      <c:pt idx="23">
                        <c:v>26.839901999999999</c:v>
                      </c:pt>
                      <c:pt idx="24">
                        <c:v>24.131424499999998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02'!$E$183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02'!$A$184:$A$208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02'!$E$184:$E$208</c:f>
              <c:numCache>
                <c:formatCode>0.00000%</c:formatCode>
                <c:ptCount val="25"/>
                <c:pt idx="0">
                  <c:v>2.0389625296542654E-6</c:v>
                </c:pt>
                <c:pt idx="1">
                  <c:v>6.5002616741149635E-6</c:v>
                </c:pt>
                <c:pt idx="2">
                  <c:v>8.4023074783251618E-6</c:v>
                </c:pt>
                <c:pt idx="3">
                  <c:v>3.6439756237488647E-6</c:v>
                </c:pt>
                <c:pt idx="4">
                  <c:v>7.9456559256174973E-6</c:v>
                </c:pt>
                <c:pt idx="5">
                  <c:v>4.8682112683967037E-6</c:v>
                </c:pt>
                <c:pt idx="6">
                  <c:v>6.6995039977527692E-6</c:v>
                </c:pt>
                <c:pt idx="7">
                  <c:v>4.2851743170937572E-6</c:v>
                </c:pt>
                <c:pt idx="8">
                  <c:v>2.1065575632467748E-6</c:v>
                </c:pt>
                <c:pt idx="9">
                  <c:v>2.1756802092417223E-6</c:v>
                </c:pt>
                <c:pt idx="10">
                  <c:v>1.8773777470579651E-6</c:v>
                </c:pt>
                <c:pt idx="11">
                  <c:v>1.0905856259046729E-6</c:v>
                </c:pt>
                <c:pt idx="12">
                  <c:v>1.5438374023227163E-6</c:v>
                </c:pt>
                <c:pt idx="13">
                  <c:v>2.5504671620658865E-6</c:v>
                </c:pt>
                <c:pt idx="14">
                  <c:v>2.2560928126484775E-6</c:v>
                </c:pt>
                <c:pt idx="15">
                  <c:v>1.685804500338319E-6</c:v>
                </c:pt>
                <c:pt idx="16">
                  <c:v>1.5321054892375515E-6</c:v>
                </c:pt>
                <c:pt idx="17">
                  <c:v>2.2269399992126948E-6</c:v>
                </c:pt>
                <c:pt idx="18">
                  <c:v>1.0032109062175246E-6</c:v>
                </c:pt>
                <c:pt idx="19">
                  <c:v>5.6595351338153571E-7</c:v>
                </c:pt>
                <c:pt idx="20">
                  <c:v>7.4860108430622807E-7</c:v>
                </c:pt>
                <c:pt idx="21">
                  <c:v>2.5344742720081594E-6</c:v>
                </c:pt>
                <c:pt idx="22">
                  <c:v>4.2213834028929181E-6</c:v>
                </c:pt>
                <c:pt idx="23">
                  <c:v>7.0926970697871699E-6</c:v>
                </c:pt>
                <c:pt idx="24">
                  <c:v>8.2619185297530574E-6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62200"/>
        <c:axId val="455161808"/>
      </c:lineChart>
      <c:catAx>
        <c:axId val="451595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1416"/>
        <c:crosses val="autoZero"/>
        <c:auto val="1"/>
        <c:lblAlgn val="ctr"/>
        <c:lblOffset val="100"/>
        <c:noMultiLvlLbl val="0"/>
      </c:catAx>
      <c:valAx>
        <c:axId val="45516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95456"/>
        <c:crosses val="autoZero"/>
        <c:crossBetween val="between"/>
        <c:majorUnit val="80000"/>
      </c:valAx>
      <c:valAx>
        <c:axId val="455161808"/>
        <c:scaling>
          <c:orientation val="minMax"/>
          <c:max val="1.0000000000000004E-5"/>
          <c:min val="0"/>
        </c:scaling>
        <c:delete val="0"/>
        <c:axPos val="r"/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2200"/>
        <c:crosses val="max"/>
        <c:crossBetween val="between"/>
        <c:majorUnit val="2.0000000000000008E-6"/>
      </c:valAx>
      <c:catAx>
        <c:axId val="455162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516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02'!$D$212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02'!$A$213:$A$237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162984"/>
        <c:axId val="4551633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02'!$B$212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02'!$A$213:$A$237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02'!$B$213:$B$237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1.681718</c:v>
                      </c:pt>
                      <c:pt idx="1">
                        <c:v>6.4066039999999997</c:v>
                      </c:pt>
                      <c:pt idx="2">
                        <c:v>9.377402</c:v>
                      </c:pt>
                      <c:pt idx="3">
                        <c:v>5.9545109999999992</c:v>
                      </c:pt>
                      <c:pt idx="4">
                        <c:v>14.700619999999999</c:v>
                      </c:pt>
                      <c:pt idx="5">
                        <c:v>9.4599190000000011</c:v>
                      </c:pt>
                      <c:pt idx="6">
                        <c:v>14.291315999999998</c:v>
                      </c:pt>
                      <c:pt idx="7">
                        <c:v>8.4369720000000008</c:v>
                      </c:pt>
                      <c:pt idx="8">
                        <c:v>3.631122</c:v>
                      </c:pt>
                      <c:pt idx="9">
                        <c:v>4.346425</c:v>
                      </c:pt>
                      <c:pt idx="10">
                        <c:v>3.687303</c:v>
                      </c:pt>
                      <c:pt idx="11">
                        <c:v>2.1360950000000001</c:v>
                      </c:pt>
                      <c:pt idx="12">
                        <c:v>2.9235519999999999</c:v>
                      </c:pt>
                      <c:pt idx="13">
                        <c:v>5.9719119999999997</c:v>
                      </c:pt>
                      <c:pt idx="14">
                        <c:v>6.6133420000000003</c:v>
                      </c:pt>
                      <c:pt idx="15">
                        <c:v>5.4819040000000001</c:v>
                      </c:pt>
                      <c:pt idx="16">
                        <c:v>6.3556789999999994</c:v>
                      </c:pt>
                      <c:pt idx="17">
                        <c:v>10.866685</c:v>
                      </c:pt>
                      <c:pt idx="18">
                        <c:v>4.6914490000000004</c:v>
                      </c:pt>
                      <c:pt idx="19">
                        <c:v>3.2487789999999999</c:v>
                      </c:pt>
                      <c:pt idx="20">
                        <c:v>5.0218429999999996</c:v>
                      </c:pt>
                      <c:pt idx="21">
                        <c:v>18.737859999999998</c:v>
                      </c:pt>
                      <c:pt idx="22">
                        <c:v>32.098714000000001</c:v>
                      </c:pt>
                      <c:pt idx="23">
                        <c:v>53.679803999999997</c:v>
                      </c:pt>
                      <c:pt idx="24">
                        <c:v>48.262848999999996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02'!$C$212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02'!$A$213:$A$237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02'!$C$213:$C$237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0.84085900000000002</c:v>
                      </c:pt>
                      <c:pt idx="1">
                        <c:v>3.2033019999999999</c:v>
                      </c:pt>
                      <c:pt idx="2">
                        <c:v>4.688701</c:v>
                      </c:pt>
                      <c:pt idx="3">
                        <c:v>2.9772554999999996</c:v>
                      </c:pt>
                      <c:pt idx="4">
                        <c:v>7.3503099999999995</c:v>
                      </c:pt>
                      <c:pt idx="5">
                        <c:v>4.7299595000000005</c:v>
                      </c:pt>
                      <c:pt idx="6">
                        <c:v>7.1456579999999992</c:v>
                      </c:pt>
                      <c:pt idx="7">
                        <c:v>4.2184860000000004</c:v>
                      </c:pt>
                      <c:pt idx="8">
                        <c:v>1.815561</c:v>
                      </c:pt>
                      <c:pt idx="9">
                        <c:v>2.1732125</c:v>
                      </c:pt>
                      <c:pt idx="10">
                        <c:v>1.8436515</c:v>
                      </c:pt>
                      <c:pt idx="11">
                        <c:v>1.0680475</c:v>
                      </c:pt>
                      <c:pt idx="12">
                        <c:v>1.461776</c:v>
                      </c:pt>
                      <c:pt idx="13">
                        <c:v>2.9859559999999998</c:v>
                      </c:pt>
                      <c:pt idx="14">
                        <c:v>3.3066710000000001</c:v>
                      </c:pt>
                      <c:pt idx="15">
                        <c:v>2.7409520000000001</c:v>
                      </c:pt>
                      <c:pt idx="16">
                        <c:v>3.1778394999999997</c:v>
                      </c:pt>
                      <c:pt idx="17">
                        <c:v>5.4333425000000002</c:v>
                      </c:pt>
                      <c:pt idx="18">
                        <c:v>2.3457245000000002</c:v>
                      </c:pt>
                      <c:pt idx="19">
                        <c:v>1.6243894999999999</c:v>
                      </c:pt>
                      <c:pt idx="20">
                        <c:v>2.5109214999999998</c:v>
                      </c:pt>
                      <c:pt idx="21">
                        <c:v>9.3689299999999989</c:v>
                      </c:pt>
                      <c:pt idx="22">
                        <c:v>16.049357000000001</c:v>
                      </c:pt>
                      <c:pt idx="23">
                        <c:v>26.839901999999999</c:v>
                      </c:pt>
                      <c:pt idx="24">
                        <c:v>24.131424499999998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02'!$E$212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02'!$A$213:$A$237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02'!$E$213:$E$237</c:f>
              <c:numCache>
                <c:formatCode>0.0000000%</c:formatCode>
                <c:ptCount val="25"/>
                <c:pt idx="0">
                  <c:v>1.3619260507255942E-8</c:v>
                </c:pt>
                <c:pt idx="1">
                  <c:v>4.8985403481321163E-8</c:v>
                </c:pt>
                <c:pt idx="2">
                  <c:v>6.8162425033269289E-8</c:v>
                </c:pt>
                <c:pt idx="3">
                  <c:v>4.073546725810346E-8</c:v>
                </c:pt>
                <c:pt idx="4">
                  <c:v>9.5906216809367339E-8</c:v>
                </c:pt>
                <c:pt idx="5">
                  <c:v>5.8393112714116605E-8</c:v>
                </c:pt>
                <c:pt idx="6">
                  <c:v>8.3006860068199908E-8</c:v>
                </c:pt>
                <c:pt idx="7">
                  <c:v>4.6412234871222541E-8</c:v>
                </c:pt>
                <c:pt idx="8">
                  <c:v>1.8793413344728041E-8</c:v>
                </c:pt>
                <c:pt idx="9">
                  <c:v>2.1130376257963347E-8</c:v>
                </c:pt>
                <c:pt idx="10">
                  <c:v>1.7357202491775424E-8</c:v>
                </c:pt>
                <c:pt idx="11">
                  <c:v>9.7294114131851724E-9</c:v>
                </c:pt>
                <c:pt idx="12">
                  <c:v>1.2699312898380373E-8</c:v>
                </c:pt>
                <c:pt idx="13">
                  <c:v>2.4325649812365496E-8</c:v>
                </c:pt>
                <c:pt idx="14">
                  <c:v>2.5253858221869011E-8</c:v>
                </c:pt>
                <c:pt idx="15">
                  <c:v>1.9781857359124151E-8</c:v>
                </c:pt>
                <c:pt idx="16">
                  <c:v>2.1949990450788405E-8</c:v>
                </c:pt>
                <c:pt idx="17">
                  <c:v>3.6914850221305286E-8</c:v>
                </c:pt>
                <c:pt idx="18">
                  <c:v>1.6268582849027231E-8</c:v>
                </c:pt>
                <c:pt idx="19">
                  <c:v>1.0855046239160588E-8</c:v>
                </c:pt>
                <c:pt idx="20">
                  <c:v>1.618078021508802E-8</c:v>
                </c:pt>
                <c:pt idx="21">
                  <c:v>5.7993080270165957E-8</c:v>
                </c:pt>
                <c:pt idx="22">
                  <c:v>9.6316406972026917E-8</c:v>
                </c:pt>
                <c:pt idx="23">
                  <c:v>1.5471403838749454E-7</c:v>
                </c:pt>
                <c:pt idx="24">
                  <c:v>1.3445940757996491E-7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64160"/>
        <c:axId val="455163768"/>
      </c:lineChart>
      <c:catAx>
        <c:axId val="455162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3376"/>
        <c:crosses val="autoZero"/>
        <c:auto val="1"/>
        <c:lblAlgn val="ctr"/>
        <c:lblOffset val="100"/>
        <c:noMultiLvlLbl val="0"/>
      </c:catAx>
      <c:valAx>
        <c:axId val="45516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2984"/>
        <c:crosses val="autoZero"/>
        <c:crossBetween val="between"/>
        <c:majorUnit val="4000"/>
      </c:valAx>
      <c:valAx>
        <c:axId val="455163768"/>
        <c:scaling>
          <c:orientation val="minMax"/>
        </c:scaling>
        <c:delete val="0"/>
        <c:axPos val="r"/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4160"/>
        <c:crosses val="max"/>
        <c:crossBetween val="between"/>
      </c:valAx>
      <c:catAx>
        <c:axId val="455164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5163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02'!$D$5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02'!$D$6:$D$30</c:f>
              <c:numCache>
                <c:formatCode>"$"\ #,##0.00000</c:formatCode>
                <c:ptCount val="25"/>
                <c:pt idx="0">
                  <c:v>5.5468515157805339E-3</c:v>
                </c:pt>
                <c:pt idx="1">
                  <c:v>2.7718297995492237E-3</c:v>
                </c:pt>
                <c:pt idx="2">
                  <c:v>5.2279237546395589E-3</c:v>
                </c:pt>
                <c:pt idx="3">
                  <c:v>4.9179320346107152E-3</c:v>
                </c:pt>
                <c:pt idx="4">
                  <c:v>8.5032673836144702E-3</c:v>
                </c:pt>
                <c:pt idx="5">
                  <c:v>4.8865912490920864E-3</c:v>
                </c:pt>
                <c:pt idx="6">
                  <c:v>7.7554973715883583E-3</c:v>
                </c:pt>
                <c:pt idx="7">
                  <c:v>5.8481863318454643E-3</c:v>
                </c:pt>
                <c:pt idx="8">
                  <c:v>1.2186767554983415E-3</c:v>
                </c:pt>
                <c:pt idx="9">
                  <c:v>3.2344255867575297E-3</c:v>
                </c:pt>
                <c:pt idx="10">
                  <c:v>1.0894913528821232E-3</c:v>
                </c:pt>
                <c:pt idx="11">
                  <c:v>2.7664397128744821E-2</c:v>
                </c:pt>
                <c:pt idx="12">
                  <c:v>4.1501366855983206E-2</c:v>
                </c:pt>
                <c:pt idx="13">
                  <c:v>8.7867235482483222E-2</c:v>
                </c:pt>
                <c:pt idx="14">
                  <c:v>6.1020282503095463E-2</c:v>
                </c:pt>
                <c:pt idx="15">
                  <c:v>5.2079857427860823E-2</c:v>
                </c:pt>
                <c:pt idx="16">
                  <c:v>4.3913882529780311E-2</c:v>
                </c:pt>
                <c:pt idx="17">
                  <c:v>5.7212269460673308E-2</c:v>
                </c:pt>
                <c:pt idx="18">
                  <c:v>3.6237246000518641E-2</c:v>
                </c:pt>
                <c:pt idx="19">
                  <c:v>2.7242064001288167E-2</c:v>
                </c:pt>
                <c:pt idx="20">
                  <c:v>3.3802247520833113E-2</c:v>
                </c:pt>
                <c:pt idx="21">
                  <c:v>2.6383080799564241E-2</c:v>
                </c:pt>
                <c:pt idx="22">
                  <c:v>2.7903790593634202E-2</c:v>
                </c:pt>
                <c:pt idx="23">
                  <c:v>5.6116276127036527E-2</c:v>
                </c:pt>
                <c:pt idx="24">
                  <c:v>6.5563936821475585E-2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02'!$D$35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02'!$D$36:$D$60</c:f>
              <c:numCache>
                <c:formatCode>"$"\ #,##0.0000</c:formatCode>
                <c:ptCount val="25"/>
                <c:pt idx="0">
                  <c:v>4.2735964412870649E-2</c:v>
                </c:pt>
                <c:pt idx="1">
                  <c:v>0.17758950072830279</c:v>
                </c:pt>
                <c:pt idx="2">
                  <c:v>0.25376547610485767</c:v>
                </c:pt>
                <c:pt idx="3">
                  <c:v>0.1566527617629665</c:v>
                </c:pt>
                <c:pt idx="4">
                  <c:v>0.38380426398418621</c:v>
                </c:pt>
                <c:pt idx="5">
                  <c:v>0.24361363400541927</c:v>
                </c:pt>
                <c:pt idx="6">
                  <c:v>0.3621438270639446</c:v>
                </c:pt>
                <c:pt idx="7">
                  <c:v>0.2094660699130288</c:v>
                </c:pt>
                <c:pt idx="8">
                  <c:v>9.0174453581325004E-2</c:v>
                </c:pt>
                <c:pt idx="9">
                  <c:v>0.10462918708940733</c:v>
                </c:pt>
                <c:pt idx="10">
                  <c:v>8.9255597792899169E-2</c:v>
                </c:pt>
                <c:pt idx="11">
                  <c:v>2.4020959318852141E-2</c:v>
                </c:pt>
                <c:pt idx="12">
                  <c:v>2.8358244227771594E-2</c:v>
                </c:pt>
                <c:pt idx="13">
                  <c:v>5.30844987179033E-2</c:v>
                </c:pt>
                <c:pt idx="14">
                  <c:v>9.3177878163964917E-2</c:v>
                </c:pt>
                <c:pt idx="15">
                  <c:v>7.421396271055522E-2</c:v>
                </c:pt>
                <c:pt idx="16">
                  <c:v>0.10077365071434882</c:v>
                </c:pt>
                <c:pt idx="17">
                  <c:v>0.18725127610317907</c:v>
                </c:pt>
                <c:pt idx="18">
                  <c:v>6.8066240581791893E-2</c:v>
                </c:pt>
                <c:pt idx="19">
                  <c:v>4.4144635556325897E-2</c:v>
                </c:pt>
                <c:pt idx="20">
                  <c:v>7.5262504717979864E-2</c:v>
                </c:pt>
                <c:pt idx="21">
                  <c:v>0.3758738252901781</c:v>
                </c:pt>
                <c:pt idx="22">
                  <c:v>0.65329256291169324</c:v>
                </c:pt>
                <c:pt idx="23">
                  <c:v>1.0701487545987312</c:v>
                </c:pt>
                <c:pt idx="24">
                  <c:v>0.93566925407032964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02'!$D$64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02'!$D$65:$D$89</c:f>
              <c:numCache>
                <c:formatCode>"$"\ #,##0.00</c:formatCode>
                <c:ptCount val="25"/>
                <c:pt idx="0">
                  <c:v>4.8282815928651183E-2</c:v>
                </c:pt>
                <c:pt idx="1">
                  <c:v>0.18036133052785203</c:v>
                </c:pt>
                <c:pt idx="2">
                  <c:v>0.25899339985949721</c:v>
                </c:pt>
                <c:pt idx="3">
                  <c:v>0.16157069379757719</c:v>
                </c:pt>
                <c:pt idx="4">
                  <c:v>0.39230753136780072</c:v>
                </c:pt>
                <c:pt idx="5">
                  <c:v>0.24850022525451138</c:v>
                </c:pt>
                <c:pt idx="6">
                  <c:v>0.36989932443553286</c:v>
                </c:pt>
                <c:pt idx="7">
                  <c:v>0.21531425624487424</c:v>
                </c:pt>
                <c:pt idx="8">
                  <c:v>9.1393130336823336E-2</c:v>
                </c:pt>
                <c:pt idx="9">
                  <c:v>0.10786361267616487</c:v>
                </c:pt>
                <c:pt idx="10">
                  <c:v>9.0345089145781307E-2</c:v>
                </c:pt>
                <c:pt idx="11">
                  <c:v>5.1685356447596961E-2</c:v>
                </c:pt>
                <c:pt idx="12">
                  <c:v>6.9859611083754797E-2</c:v>
                </c:pt>
                <c:pt idx="13">
                  <c:v>0.14095173420038651</c:v>
                </c:pt>
                <c:pt idx="14">
                  <c:v>0.15419816066706038</c:v>
                </c:pt>
                <c:pt idx="15">
                  <c:v>0.12629382013841603</c:v>
                </c:pt>
                <c:pt idx="16">
                  <c:v>0.14468753324412911</c:v>
                </c:pt>
                <c:pt idx="17">
                  <c:v>0.24446354556385236</c:v>
                </c:pt>
                <c:pt idx="18">
                  <c:v>0.10430348658231055</c:v>
                </c:pt>
                <c:pt idx="19">
                  <c:v>7.138669955761405E-2</c:v>
                </c:pt>
                <c:pt idx="20">
                  <c:v>0.10906475223881296</c:v>
                </c:pt>
                <c:pt idx="21">
                  <c:v>0.40225690608974229</c:v>
                </c:pt>
                <c:pt idx="22">
                  <c:v>0.68119635350532748</c:v>
                </c:pt>
                <c:pt idx="23">
                  <c:v>1.1262650307257678</c:v>
                </c:pt>
                <c:pt idx="24">
                  <c:v>1.0012331908918051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164944"/>
        <c:axId val="455165336"/>
      </c:lineChart>
      <c:catAx>
        <c:axId val="455164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5336"/>
        <c:crosses val="autoZero"/>
        <c:auto val="1"/>
        <c:lblAlgn val="ctr"/>
        <c:lblOffset val="100"/>
        <c:noMultiLvlLbl val="0"/>
      </c:catAx>
      <c:valAx>
        <c:axId val="45516533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49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02'!$D$96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02'!$D$97:$D$121</c:f>
              <c:numCache>
                <c:formatCode>"$"\ #,##0.000</c:formatCode>
                <c:ptCount val="25"/>
                <c:pt idx="0">
                  <c:v>5.8690876113871148E-3</c:v>
                </c:pt>
                <c:pt idx="1">
                  <c:v>2.4591627812690045E-2</c:v>
                </c:pt>
                <c:pt idx="2">
                  <c:v>3.5457409572764359E-2</c:v>
                </c:pt>
                <c:pt idx="3">
                  <c:v>2.186338005233639E-2</c:v>
                </c:pt>
                <c:pt idx="4">
                  <c:v>5.3986831732970961E-2</c:v>
                </c:pt>
                <c:pt idx="5">
                  <c:v>3.4484423455917901E-2</c:v>
                </c:pt>
                <c:pt idx="6">
                  <c:v>5.1556179920187774E-2</c:v>
                </c:pt>
                <c:pt idx="7">
                  <c:v>3.0222008660303997E-2</c:v>
                </c:pt>
                <c:pt idx="8">
                  <c:v>1.3074413190085539E-2</c:v>
                </c:pt>
                <c:pt idx="9">
                  <c:v>1.4794916870857037E-2</c:v>
                </c:pt>
                <c:pt idx="10">
                  <c:v>1.2665222270707002E-2</c:v>
                </c:pt>
                <c:pt idx="11">
                  <c:v>3.4220298277744788E-3</c:v>
                </c:pt>
                <c:pt idx="12">
                  <c:v>4.0530789849301157E-3</c:v>
                </c:pt>
                <c:pt idx="13">
                  <c:v>7.6107738367684708E-3</c:v>
                </c:pt>
                <c:pt idx="14">
                  <c:v>1.3393220653540511E-2</c:v>
                </c:pt>
                <c:pt idx="15">
                  <c:v>1.0693872099380461E-2</c:v>
                </c:pt>
                <c:pt idx="16">
                  <c:v>1.4556937969627452E-2</c:v>
                </c:pt>
                <c:pt idx="17">
                  <c:v>2.7132680881868931E-2</c:v>
                </c:pt>
                <c:pt idx="18">
                  <c:v>9.9160623335065E-3</c:v>
                </c:pt>
                <c:pt idx="19">
                  <c:v>6.4943368767849631E-3</c:v>
                </c:pt>
                <c:pt idx="20">
                  <c:v>1.1117072555298311E-2</c:v>
                </c:pt>
                <c:pt idx="21">
                  <c:v>5.5740893860184514E-2</c:v>
                </c:pt>
                <c:pt idx="22">
                  <c:v>9.7264130000432769E-2</c:v>
                </c:pt>
                <c:pt idx="23">
                  <c:v>0.15996259464930893</c:v>
                </c:pt>
                <c:pt idx="24">
                  <c:v>0.14032297175380085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02'!$D$126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02'!$D$127:$D$151</c:f>
              <c:numCache>
                <c:formatCode>"$"\ #,##0.0000</c:formatCode>
                <c:ptCount val="25"/>
                <c:pt idx="0">
                  <c:v>7.6176957653181928E-4</c:v>
                </c:pt>
                <c:pt idx="1">
                  <c:v>3.8382790937017573E-4</c:v>
                </c:pt>
                <c:pt idx="2">
                  <c:v>7.3047223219143982E-4</c:v>
                </c:pt>
                <c:pt idx="3">
                  <c:v>6.8637549657086811E-4</c:v>
                </c:pt>
                <c:pt idx="4">
                  <c:v>1.1960900607361918E-3</c:v>
                </c:pt>
                <c:pt idx="5">
                  <c:v>6.9171531625330011E-4</c:v>
                </c:pt>
                <c:pt idx="6">
                  <c:v>1.1041022598724331E-3</c:v>
                </c:pt>
                <c:pt idx="7">
                  <c:v>8.4378313891834565E-4</c:v>
                </c:pt>
                <c:pt idx="8">
                  <c:v>1.7669620179254372E-4</c:v>
                </c:pt>
                <c:pt idx="9">
                  <c:v>4.5735859192100418E-4</c:v>
                </c:pt>
                <c:pt idx="10">
                  <c:v>1.5459702794532327E-4</c:v>
                </c:pt>
                <c:pt idx="11">
                  <c:v>3.9410745793014906E-3</c:v>
                </c:pt>
                <c:pt idx="12">
                  <c:v>5.9315490937599091E-3</c:v>
                </c:pt>
                <c:pt idx="13">
                  <c:v>1.259760708060937E-2</c:v>
                </c:pt>
                <c:pt idx="14">
                  <c:v>8.7709456794799242E-3</c:v>
                </c:pt>
                <c:pt idx="15">
                  <c:v>7.5044548754206603E-3</c:v>
                </c:pt>
                <c:pt idx="16">
                  <c:v>6.3434405666569519E-3</c:v>
                </c:pt>
                <c:pt idx="17">
                  <c:v>8.2900489764811264E-3</c:v>
                </c:pt>
                <c:pt idx="18">
                  <c:v>5.2791337829795615E-3</c:v>
                </c:pt>
                <c:pt idx="19">
                  <c:v>4.0077155154574495E-3</c:v>
                </c:pt>
                <c:pt idx="20">
                  <c:v>4.9929515318333766E-3</c:v>
                </c:pt>
                <c:pt idx="21">
                  <c:v>3.9125270439298422E-3</c:v>
                </c:pt>
                <c:pt idx="22">
                  <c:v>4.1543989169381549E-3</c:v>
                </c:pt>
                <c:pt idx="23">
                  <c:v>8.3880909946054318E-3</c:v>
                </c:pt>
                <c:pt idx="24">
                  <c:v>9.8326694124507077E-3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02'!$D$155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02'!$D$156:$D$180</c:f>
              <c:numCache>
                <c:formatCode>"$"\ #,##0.0000</c:formatCode>
                <c:ptCount val="25"/>
                <c:pt idx="0">
                  <c:v>6.6308571879189334E-3</c:v>
                </c:pt>
                <c:pt idx="1">
                  <c:v>2.4975455722060221E-2</c:v>
                </c:pt>
                <c:pt idx="2">
                  <c:v>3.6187881804955795E-2</c:v>
                </c:pt>
                <c:pt idx="3">
                  <c:v>2.2549755548907258E-2</c:v>
                </c:pt>
                <c:pt idx="4">
                  <c:v>5.5182921793707158E-2</c:v>
                </c:pt>
                <c:pt idx="5">
                  <c:v>3.5176138772171205E-2</c:v>
                </c:pt>
                <c:pt idx="6">
                  <c:v>5.2660282180060206E-2</c:v>
                </c:pt>
                <c:pt idx="7">
                  <c:v>3.1065791799222343E-2</c:v>
                </c:pt>
                <c:pt idx="8">
                  <c:v>1.3251109391878083E-2</c:v>
                </c:pt>
                <c:pt idx="9">
                  <c:v>1.5252275462778041E-2</c:v>
                </c:pt>
                <c:pt idx="10">
                  <c:v>1.2819819298652326E-2</c:v>
                </c:pt>
                <c:pt idx="11">
                  <c:v>7.3631044070759698E-3</c:v>
                </c:pt>
                <c:pt idx="12">
                  <c:v>9.9846280786900238E-3</c:v>
                </c:pt>
                <c:pt idx="13">
                  <c:v>2.0208380917377842E-2</c:v>
                </c:pt>
                <c:pt idx="14">
                  <c:v>2.2164166333020437E-2</c:v>
                </c:pt>
                <c:pt idx="15">
                  <c:v>1.8198326974801119E-2</c:v>
                </c:pt>
                <c:pt idx="16">
                  <c:v>2.0900378536284406E-2</c:v>
                </c:pt>
                <c:pt idx="17">
                  <c:v>3.5422729858350058E-2</c:v>
                </c:pt>
                <c:pt idx="18">
                  <c:v>1.5195196116486063E-2</c:v>
                </c:pt>
                <c:pt idx="19">
                  <c:v>1.0502052392242413E-2</c:v>
                </c:pt>
                <c:pt idx="20">
                  <c:v>1.6110024087131688E-2</c:v>
                </c:pt>
                <c:pt idx="21">
                  <c:v>5.9653420904114351E-2</c:v>
                </c:pt>
                <c:pt idx="22">
                  <c:v>0.10141852891737094</c:v>
                </c:pt>
                <c:pt idx="23">
                  <c:v>0.16835068564391437</c:v>
                </c:pt>
                <c:pt idx="24">
                  <c:v>0.15015564116625155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166120"/>
        <c:axId val="455166512"/>
      </c:lineChart>
      <c:catAx>
        <c:axId val="455166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6512"/>
        <c:crosses val="autoZero"/>
        <c:auto val="1"/>
        <c:lblAlgn val="ctr"/>
        <c:lblOffset val="100"/>
        <c:noMultiLvlLbl val="0"/>
      </c:catAx>
      <c:valAx>
        <c:axId val="45516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02'!$D$5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02'!$B$6:$B$30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02'!$D$6:$D$30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167296"/>
        <c:axId val="455167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02'!$C$5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02'!$B$6:$B$30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02'!$C$6:$C$30</c15:sqref>
                        </c15:formulaRef>
                      </c:ext>
                    </c:extLst>
                    <c:numCache>
                      <c:formatCode>"$"\ #,##0</c:formatCode>
                      <c:ptCount val="25"/>
                      <c:pt idx="0">
                        <c:v>193.2</c:v>
                      </c:pt>
                      <c:pt idx="1">
                        <c:v>98.457999999999998</c:v>
                      </c:pt>
                      <c:pt idx="2">
                        <c:v>189.28800000000001</c:v>
                      </c:pt>
                      <c:pt idx="3">
                        <c:v>181.245</c:v>
                      </c:pt>
                      <c:pt idx="4">
                        <c:v>318.63600000000002</c:v>
                      </c:pt>
                      <c:pt idx="5">
                        <c:v>186.023</c:v>
                      </c:pt>
                      <c:pt idx="6">
                        <c:v>299.63900000000001</c:v>
                      </c:pt>
                      <c:pt idx="7">
                        <c:v>229.15799999999999</c:v>
                      </c:pt>
                      <c:pt idx="8">
                        <c:v>48.418999999999997</c:v>
                      </c:pt>
                      <c:pt idx="9">
                        <c:v>130.333</c:v>
                      </c:pt>
                      <c:pt idx="10">
                        <c:v>44.466000000000001</c:v>
                      </c:pt>
                      <c:pt idx="11">
                        <c:v>1143.337</c:v>
                      </c:pt>
                      <c:pt idx="12">
                        <c:v>1736.789</c:v>
                      </c:pt>
                      <c:pt idx="13">
                        <c:v>3722.8020000000001</c:v>
                      </c:pt>
                      <c:pt idx="14">
                        <c:v>2617.0740000000001</c:v>
                      </c:pt>
                      <c:pt idx="15">
                        <c:v>2260.576</c:v>
                      </c:pt>
                      <c:pt idx="16">
                        <c:v>1929.002</c:v>
                      </c:pt>
                      <c:pt idx="17">
                        <c:v>2543.1509999999998</c:v>
                      </c:pt>
                      <c:pt idx="18">
                        <c:v>1629.9090000000001</c:v>
                      </c:pt>
                      <c:pt idx="19">
                        <c:v>1239.7750000000001</c:v>
                      </c:pt>
                      <c:pt idx="20">
                        <c:v>1556.4110000000001</c:v>
                      </c:pt>
                      <c:pt idx="21">
                        <c:v>1228.972</c:v>
                      </c:pt>
                      <c:pt idx="22">
                        <c:v>1314.857</c:v>
                      </c:pt>
                      <c:pt idx="23">
                        <c:v>2674.6019999999999</c:v>
                      </c:pt>
                      <c:pt idx="24">
                        <c:v>3160.4050000000002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02'!$E$5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02'!$B$6:$B$30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02'!$E$6:$E$30</c:f>
              <c:numCache>
                <c:formatCode>0.000000000%</c:formatCode>
                <c:ptCount val="25"/>
                <c:pt idx="0">
                  <c:v>6.2551316685790362E-11</c:v>
                </c:pt>
                <c:pt idx="1">
                  <c:v>2.6792181944543471E-11</c:v>
                </c:pt>
                <c:pt idx="2">
                  <c:v>3.4947339347438458E-11</c:v>
                </c:pt>
                <c:pt idx="3">
                  <c:v>2.1938820655088864E-11</c:v>
                </c:pt>
                <c:pt idx="4">
                  <c:v>3.2687897242339531E-11</c:v>
                </c:pt>
                <c:pt idx="5">
                  <c:v>1.3538326776547413E-11</c:v>
                </c:pt>
                <c:pt idx="6">
                  <c:v>1.7793244352167033E-11</c:v>
                </c:pt>
                <c:pt idx="7">
                  <c:v>1.2410785194274135E-11</c:v>
                </c:pt>
                <c:pt idx="8">
                  <c:v>2.6531360145501383E-12</c:v>
                </c:pt>
                <c:pt idx="9">
                  <c:v>7.4973826206007906E-12</c:v>
                </c:pt>
                <c:pt idx="10">
                  <c:v>2.6222404510635715E-12</c:v>
                </c:pt>
                <c:pt idx="11">
                  <c:v>5.9214523760347057E-11</c:v>
                </c:pt>
                <c:pt idx="12">
                  <c:v>8.5224806385659221E-11</c:v>
                </c:pt>
                <c:pt idx="13">
                  <c:v>1.6889926807331901E-10</c:v>
                </c:pt>
                <c:pt idx="14">
                  <c:v>1.0262081926584937E-10</c:v>
                </c:pt>
                <c:pt idx="15">
                  <c:v>7.805059676919719E-11</c:v>
                </c:pt>
                <c:pt idx="16">
                  <c:v>6.1070159568025156E-11</c:v>
                </c:pt>
                <c:pt idx="17">
                  <c:v>7.1237814204043946E-11</c:v>
                </c:pt>
                <c:pt idx="18">
                  <c:v>3.937323109507128E-11</c:v>
                </c:pt>
                <c:pt idx="19">
                  <c:v>2.6005858421235102E-11</c:v>
                </c:pt>
                <c:pt idx="20">
                  <c:v>3.4594192035394829E-11</c:v>
                </c:pt>
                <c:pt idx="21">
                  <c:v>2.484236513355865E-11</c:v>
                </c:pt>
                <c:pt idx="22">
                  <c:v>2.2459052353115747E-11</c:v>
                </c:pt>
                <c:pt idx="23">
                  <c:v>4.4040184126889513E-11</c:v>
                </c:pt>
                <c:pt idx="24">
                  <c:v>4.8973372281803156E-11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68472"/>
        <c:axId val="455168080"/>
      </c:lineChart>
      <c:catAx>
        <c:axId val="45516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7688"/>
        <c:crosses val="autoZero"/>
        <c:auto val="1"/>
        <c:lblAlgn val="ctr"/>
        <c:lblOffset val="100"/>
        <c:noMultiLvlLbl val="0"/>
      </c:catAx>
      <c:valAx>
        <c:axId val="45516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7296"/>
        <c:crosses val="autoZero"/>
        <c:crossBetween val="between"/>
      </c:valAx>
      <c:valAx>
        <c:axId val="455168080"/>
        <c:scaling>
          <c:orientation val="minMax"/>
        </c:scaling>
        <c:delete val="0"/>
        <c:axPos val="r"/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68472"/>
        <c:crosses val="max"/>
        <c:crossBetween val="between"/>
      </c:valAx>
      <c:catAx>
        <c:axId val="455168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5168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02'!$D$36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02'!$B$37:$B$61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02'!$D$37:$D$61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414672"/>
        <c:axId val="518415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02'!$C$36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02'!$B$37:$B$61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02'!$C$37:$C$61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1.488518</c:v>
                      </c:pt>
                      <c:pt idx="1">
                        <c:v>6.3081459999999998</c:v>
                      </c:pt>
                      <c:pt idx="2">
                        <c:v>9.1881140000000006</c:v>
                      </c:pt>
                      <c:pt idx="3">
                        <c:v>5.7732659999999996</c:v>
                      </c:pt>
                      <c:pt idx="4">
                        <c:v>14.381983999999999</c:v>
                      </c:pt>
                      <c:pt idx="5">
                        <c:v>9.2738960000000006</c:v>
                      </c:pt>
                      <c:pt idx="6">
                        <c:v>13.991676999999999</c:v>
                      </c:pt>
                      <c:pt idx="7">
                        <c:v>8.2078140000000008</c:v>
                      </c:pt>
                      <c:pt idx="8">
                        <c:v>3.582703</c:v>
                      </c:pt>
                      <c:pt idx="9">
                        <c:v>4.2160919999999997</c:v>
                      </c:pt>
                      <c:pt idx="10">
                        <c:v>3.6428370000000001</c:v>
                      </c:pt>
                      <c:pt idx="11">
                        <c:v>0.99275800000000003</c:v>
                      </c:pt>
                      <c:pt idx="12">
                        <c:v>1.186763</c:v>
                      </c:pt>
                      <c:pt idx="13">
                        <c:v>2.2491099999999999</c:v>
                      </c:pt>
                      <c:pt idx="14">
                        <c:v>3.9962680000000002</c:v>
                      </c:pt>
                      <c:pt idx="15">
                        <c:v>3.2213280000000002</c:v>
                      </c:pt>
                      <c:pt idx="16">
                        <c:v>4.4266769999999998</c:v>
                      </c:pt>
                      <c:pt idx="17">
                        <c:v>8.3235340000000004</c:v>
                      </c:pt>
                      <c:pt idx="18">
                        <c:v>3.0615399999999999</c:v>
                      </c:pt>
                      <c:pt idx="19">
                        <c:v>2.009004</c:v>
                      </c:pt>
                      <c:pt idx="20">
                        <c:v>3.4654319999999998</c:v>
                      </c:pt>
                      <c:pt idx="21">
                        <c:v>17.508887999999999</c:v>
                      </c:pt>
                      <c:pt idx="22">
                        <c:v>30.783857000000001</c:v>
                      </c:pt>
                      <c:pt idx="23">
                        <c:v>51.005201999999997</c:v>
                      </c:pt>
                      <c:pt idx="24">
                        <c:v>45.102443999999998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02'!$E$36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02'!$B$37:$B$61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02'!$E$37:$E$61</c:f>
              <c:numCache>
                <c:formatCode>0.00000000%</c:formatCode>
                <c:ptCount val="25"/>
                <c:pt idx="0">
                  <c:v>4.8192940378105228E-9</c:v>
                </c:pt>
                <c:pt idx="1">
                  <c:v>1.7165592980229549E-8</c:v>
                </c:pt>
                <c:pt idx="2">
                  <c:v>1.6963576028113255E-8</c:v>
                </c:pt>
                <c:pt idx="3">
                  <c:v>6.9882560825469523E-9</c:v>
                </c:pt>
                <c:pt idx="4">
                  <c:v>1.47540395665578E-8</c:v>
                </c:pt>
                <c:pt idx="5">
                  <c:v>6.7493285529056062E-9</c:v>
                </c:pt>
                <c:pt idx="6">
                  <c:v>8.3085755778652098E-9</c:v>
                </c:pt>
                <c:pt idx="7">
                  <c:v>4.4452044645421926E-9</c:v>
                </c:pt>
                <c:pt idx="8">
                  <c:v>1.9631546208589238E-9</c:v>
                </c:pt>
                <c:pt idx="9">
                  <c:v>2.4252994166983051E-9</c:v>
                </c:pt>
                <c:pt idx="10">
                  <c:v>2.1482468713243983E-9</c:v>
                </c:pt>
                <c:pt idx="11">
                  <c:v>5.1415892409040054E-10</c:v>
                </c:pt>
                <c:pt idx="12">
                  <c:v>5.8234850002311215E-10</c:v>
                </c:pt>
                <c:pt idx="13">
                  <c:v>1.0203954785035102E-9</c:v>
                </c:pt>
                <c:pt idx="14">
                  <c:v>1.567018342492025E-9</c:v>
                </c:pt>
                <c:pt idx="15">
                  <c:v>1.1122234898951614E-9</c:v>
                </c:pt>
                <c:pt idx="16">
                  <c:v>1.4014390381456676E-9</c:v>
                </c:pt>
                <c:pt idx="17">
                  <c:v>2.3315578532813931E-9</c:v>
                </c:pt>
                <c:pt idx="18">
                  <c:v>7.3956719011186827E-10</c:v>
                </c:pt>
                <c:pt idx="19">
                  <c:v>4.2141415653400825E-10</c:v>
                </c:pt>
                <c:pt idx="20">
                  <c:v>7.7025811365765457E-10</c:v>
                </c:pt>
                <c:pt idx="21">
                  <c:v>3.5392359531265432E-9</c:v>
                </c:pt>
                <c:pt idx="22">
                  <c:v>5.2581859167485789E-9</c:v>
                </c:pt>
                <c:pt idx="23">
                  <c:v>8.3985523360454863E-9</c:v>
                </c:pt>
                <c:pt idx="24">
                  <c:v>6.9890371038875685E-9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15848"/>
        <c:axId val="518415456"/>
      </c:lineChart>
      <c:catAx>
        <c:axId val="518414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415064"/>
        <c:crosses val="autoZero"/>
        <c:auto val="1"/>
        <c:lblAlgn val="ctr"/>
        <c:lblOffset val="100"/>
        <c:noMultiLvlLbl val="0"/>
      </c:catAx>
      <c:valAx>
        <c:axId val="51841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414672"/>
        <c:crosses val="autoZero"/>
        <c:crossBetween val="between"/>
      </c:valAx>
      <c:valAx>
        <c:axId val="518415456"/>
        <c:scaling>
          <c:orientation val="minMax"/>
          <c:max val="2.000000000000001E-8"/>
          <c:min val="0"/>
        </c:scaling>
        <c:delete val="0"/>
        <c:axPos val="r"/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415848"/>
        <c:crosses val="max"/>
        <c:crossBetween val="between"/>
        <c:majorUnit val="4.0000000000000019E-9"/>
      </c:valAx>
      <c:catAx>
        <c:axId val="518415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8415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02'!$D$67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02'!$B$68:$B$92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02'!$D$68:$D$92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416632"/>
        <c:axId val="518417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02'!$C$67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02'!$B$68:$B$92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02'!$C$68:$C$92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1.681718</c:v>
                      </c:pt>
                      <c:pt idx="1">
                        <c:v>6.4066039999999997</c:v>
                      </c:pt>
                      <c:pt idx="2">
                        <c:v>9.377402</c:v>
                      </c:pt>
                      <c:pt idx="3">
                        <c:v>5.9545109999999992</c:v>
                      </c:pt>
                      <c:pt idx="4">
                        <c:v>14.700619999999999</c:v>
                      </c:pt>
                      <c:pt idx="5">
                        <c:v>9.4599190000000011</c:v>
                      </c:pt>
                      <c:pt idx="6">
                        <c:v>14.291315999999998</c:v>
                      </c:pt>
                      <c:pt idx="7">
                        <c:v>8.4369720000000008</c:v>
                      </c:pt>
                      <c:pt idx="8">
                        <c:v>3.631122</c:v>
                      </c:pt>
                      <c:pt idx="9">
                        <c:v>4.346425</c:v>
                      </c:pt>
                      <c:pt idx="10">
                        <c:v>3.687303</c:v>
                      </c:pt>
                      <c:pt idx="11">
                        <c:v>2.1360950000000001</c:v>
                      </c:pt>
                      <c:pt idx="12">
                        <c:v>2.9235519999999999</c:v>
                      </c:pt>
                      <c:pt idx="13">
                        <c:v>5.9719119999999997</c:v>
                      </c:pt>
                      <c:pt idx="14">
                        <c:v>6.6133420000000003</c:v>
                      </c:pt>
                      <c:pt idx="15">
                        <c:v>5.4819040000000001</c:v>
                      </c:pt>
                      <c:pt idx="16">
                        <c:v>6.3556789999999994</c:v>
                      </c:pt>
                      <c:pt idx="17">
                        <c:v>10.866685</c:v>
                      </c:pt>
                      <c:pt idx="18">
                        <c:v>4.6914490000000004</c:v>
                      </c:pt>
                      <c:pt idx="19">
                        <c:v>3.2487789999999999</c:v>
                      </c:pt>
                      <c:pt idx="20">
                        <c:v>5.0218429999999996</c:v>
                      </c:pt>
                      <c:pt idx="21">
                        <c:v>18.737859999999998</c:v>
                      </c:pt>
                      <c:pt idx="22">
                        <c:v>32.098714000000001</c:v>
                      </c:pt>
                      <c:pt idx="23">
                        <c:v>53.679803999999997</c:v>
                      </c:pt>
                      <c:pt idx="24">
                        <c:v>48.262848999999996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02'!$E$67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02'!$B$68:$B$92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02'!$E$68:$E$92</c:f>
              <c:numCache>
                <c:formatCode>0.00000000%</c:formatCode>
                <c:ptCount val="25"/>
                <c:pt idx="0">
                  <c:v>2.722403602334213E-9</c:v>
                </c:pt>
                <c:pt idx="1">
                  <c:v>8.7167573998374921E-9</c:v>
                </c:pt>
                <c:pt idx="2">
                  <c:v>8.6565247107938187E-9</c:v>
                </c:pt>
                <c:pt idx="3">
                  <c:v>3.6038221445489202E-9</c:v>
                </c:pt>
                <c:pt idx="4">
                  <c:v>7.540459269490597E-9</c:v>
                </c:pt>
                <c:pt idx="5">
                  <c:v>3.4423559103355407E-9</c:v>
                </c:pt>
                <c:pt idx="6">
                  <c:v>4.2432540106934405E-9</c:v>
                </c:pt>
                <c:pt idx="7">
                  <c:v>2.2846561582424667E-9</c:v>
                </c:pt>
                <c:pt idx="8">
                  <c:v>9.9484299050221271E-10</c:v>
                </c:pt>
                <c:pt idx="9">
                  <c:v>1.2501366214521567E-9</c:v>
                </c:pt>
                <c:pt idx="10">
                  <c:v>1.0872346379175169E-9</c:v>
                </c:pt>
                <c:pt idx="11">
                  <c:v>5.531520808469355E-10</c:v>
                </c:pt>
                <c:pt idx="12">
                  <c:v>7.1729828193985205E-10</c:v>
                </c:pt>
                <c:pt idx="13">
                  <c:v>1.35469407961835E-9</c:v>
                </c:pt>
                <c:pt idx="14">
                  <c:v>1.2966132675752592E-9</c:v>
                </c:pt>
                <c:pt idx="15">
                  <c:v>9.463647287935668E-10</c:v>
                </c:pt>
                <c:pt idx="16">
                  <c:v>1.0060703169129595E-9</c:v>
                </c:pt>
                <c:pt idx="17">
                  <c:v>1.5219679976609163E-9</c:v>
                </c:pt>
                <c:pt idx="18">
                  <c:v>5.6664975053129059E-10</c:v>
                </c:pt>
                <c:pt idx="19">
                  <c:v>3.407363703731796E-10</c:v>
                </c:pt>
                <c:pt idx="20">
                  <c:v>5.5810001700580135E-10</c:v>
                </c:pt>
                <c:pt idx="21">
                  <c:v>1.8938298022310647E-9</c:v>
                </c:pt>
                <c:pt idx="22">
                  <c:v>2.7413882201398685E-9</c:v>
                </c:pt>
                <c:pt idx="23">
                  <c:v>4.4194770886571912E-9</c:v>
                </c:pt>
                <c:pt idx="24">
                  <c:v>3.7393854133527995E-9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17808"/>
        <c:axId val="518417416"/>
      </c:lineChart>
      <c:catAx>
        <c:axId val="518416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417024"/>
        <c:crosses val="autoZero"/>
        <c:auto val="1"/>
        <c:lblAlgn val="ctr"/>
        <c:lblOffset val="100"/>
        <c:noMultiLvlLbl val="0"/>
      </c:catAx>
      <c:valAx>
        <c:axId val="51841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416632"/>
        <c:crosses val="autoZero"/>
        <c:crossBetween val="between"/>
      </c:valAx>
      <c:valAx>
        <c:axId val="518417416"/>
        <c:scaling>
          <c:orientation val="minMax"/>
          <c:max val="1.0000000000000005E-8"/>
        </c:scaling>
        <c:delete val="0"/>
        <c:axPos val="r"/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8417808"/>
        <c:crosses val="max"/>
        <c:crossBetween val="between"/>
        <c:majorUnit val="2.000000000000001E-9"/>
      </c:valAx>
      <c:catAx>
        <c:axId val="518417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8417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03'!$B$1</c:f>
              <c:strCache>
                <c:ptCount val="1"/>
                <c:pt idx="0">
                  <c:v>Exportaciones  de Colombia a USA (US$ millones)</c:v>
                </c:pt>
              </c:strCache>
            </c:strRef>
          </c:tx>
          <c:invertIfNegative val="0"/>
          <c:cat>
            <c:numRef>
              <c:f>'Export 03'!$A$2:$A$26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03'!$B$2:$B$26</c:f>
              <c:numCache>
                <c:formatCode>0.0</c:formatCode>
                <c:ptCount val="25"/>
                <c:pt idx="0">
                  <c:v>63.441144000000001</c:v>
                </c:pt>
                <c:pt idx="1">
                  <c:v>48.238895999999997</c:v>
                </c:pt>
                <c:pt idx="2">
                  <c:v>63.864524000000003</c:v>
                </c:pt>
                <c:pt idx="3">
                  <c:v>84.264263999999997</c:v>
                </c:pt>
                <c:pt idx="4">
                  <c:v>86.595408000000006</c:v>
                </c:pt>
                <c:pt idx="5">
                  <c:v>73.860624000000001</c:v>
                </c:pt>
                <c:pt idx="6">
                  <c:v>66.271575999999996</c:v>
                </c:pt>
                <c:pt idx="7">
                  <c:v>40.257060000000003</c:v>
                </c:pt>
                <c:pt idx="8">
                  <c:v>50.189104</c:v>
                </c:pt>
                <c:pt idx="9">
                  <c:v>46.924646000000003</c:v>
                </c:pt>
                <c:pt idx="10">
                  <c:v>45.705840000000002</c:v>
                </c:pt>
                <c:pt idx="11">
                  <c:v>40.696807</c:v>
                </c:pt>
                <c:pt idx="12">
                  <c:v>32.985366999999997</c:v>
                </c:pt>
                <c:pt idx="13">
                  <c:v>31.343896999999998</c:v>
                </c:pt>
                <c:pt idx="14">
                  <c:v>31.474772999999999</c:v>
                </c:pt>
                <c:pt idx="15">
                  <c:v>27.746327999999998</c:v>
                </c:pt>
                <c:pt idx="16">
                  <c:v>18.709197</c:v>
                </c:pt>
                <c:pt idx="17">
                  <c:v>26.364070000000002</c:v>
                </c:pt>
                <c:pt idx="18">
                  <c:v>31.324175</c:v>
                </c:pt>
                <c:pt idx="19">
                  <c:v>49.722799000000002</c:v>
                </c:pt>
                <c:pt idx="20">
                  <c:v>52.138390999999999</c:v>
                </c:pt>
                <c:pt idx="21">
                  <c:v>70.997045</c:v>
                </c:pt>
                <c:pt idx="22">
                  <c:v>62.781016999999999</c:v>
                </c:pt>
                <c:pt idx="23">
                  <c:v>79.216997000000006</c:v>
                </c:pt>
                <c:pt idx="24">
                  <c:v>68.660020000000003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418984"/>
        <c:axId val="518419376"/>
      </c:barChart>
      <c:catAx>
        <c:axId val="518418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8419376"/>
        <c:crosses val="autoZero"/>
        <c:auto val="1"/>
        <c:lblAlgn val="ctr"/>
        <c:lblOffset val="100"/>
        <c:noMultiLvlLbl val="0"/>
      </c:catAx>
      <c:valAx>
        <c:axId val="518419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 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18418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00'!$C$65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00'!$A$66:$A$90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421464"/>
        <c:axId val="4956525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00'!$B$65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00'!$A$66:$A$90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00'!$B$66:$B$90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1806.394</c:v>
                      </c:pt>
                      <c:pt idx="1">
                        <c:v>3152.6379999999999</c:v>
                      </c:pt>
                      <c:pt idx="2">
                        <c:v>3215.2869999999998</c:v>
                      </c:pt>
                      <c:pt idx="3">
                        <c:v>4474.9809999999998</c:v>
                      </c:pt>
                      <c:pt idx="4">
                        <c:v>3992.277</c:v>
                      </c:pt>
                      <c:pt idx="5">
                        <c:v>5379.8019999999997</c:v>
                      </c:pt>
                      <c:pt idx="6">
                        <c:v>3821.105</c:v>
                      </c:pt>
                      <c:pt idx="7">
                        <c:v>3538.69</c:v>
                      </c:pt>
                      <c:pt idx="8">
                        <c:v>3328.6469999999999</c:v>
                      </c:pt>
                      <c:pt idx="9">
                        <c:v>2423.2669999999998</c:v>
                      </c:pt>
                      <c:pt idx="10">
                        <c:v>3458.69</c:v>
                      </c:pt>
                      <c:pt idx="11">
                        <c:v>3495.8850000000002</c:v>
                      </c:pt>
                      <c:pt idx="12">
                        <c:v>4221.4390000000003</c:v>
                      </c:pt>
                      <c:pt idx="13">
                        <c:v>2268.058</c:v>
                      </c:pt>
                      <c:pt idx="14">
                        <c:v>3775.5949999999998</c:v>
                      </c:pt>
                      <c:pt idx="15">
                        <c:v>3769.5279999999998</c:v>
                      </c:pt>
                      <c:pt idx="16">
                        <c:v>4219.6670000000004</c:v>
                      </c:pt>
                      <c:pt idx="17">
                        <c:v>4908.3850000000002</c:v>
                      </c:pt>
                      <c:pt idx="18">
                        <c:v>4795.9279999999999</c:v>
                      </c:pt>
                      <c:pt idx="19">
                        <c:v>912.50599999999997</c:v>
                      </c:pt>
                      <c:pt idx="20">
                        <c:v>1611.5440000000001</c:v>
                      </c:pt>
                      <c:pt idx="21">
                        <c:v>1734.827</c:v>
                      </c:pt>
                      <c:pt idx="22">
                        <c:v>1652.723</c:v>
                      </c:pt>
                      <c:pt idx="23">
                        <c:v>1246.8779999999999</c:v>
                      </c:pt>
                      <c:pt idx="24">
                        <c:v>520.46799999999996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00'!$D$65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00'!$A$66:$A$90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00'!$D$66:$D$90</c:f>
              <c:numCache>
                <c:formatCode>0.000000000%</c:formatCode>
                <c:ptCount val="25"/>
                <c:pt idx="0">
                  <c:v>2.9257878508458723E-10</c:v>
                </c:pt>
                <c:pt idx="1">
                  <c:v>4.8210641538183221E-10</c:v>
                </c:pt>
                <c:pt idx="2">
                  <c:v>4.6742532547489221E-10</c:v>
                </c:pt>
                <c:pt idx="3">
                  <c:v>6.1227678311832854E-10</c:v>
                </c:pt>
                <c:pt idx="4">
                  <c:v>5.2090889163185047E-10</c:v>
                </c:pt>
                <c:pt idx="5">
                  <c:v>6.6415660549657967E-10</c:v>
                </c:pt>
                <c:pt idx="6">
                  <c:v>4.4387504697383929E-10</c:v>
                </c:pt>
                <c:pt idx="7">
                  <c:v>3.8933046457057455E-10</c:v>
                </c:pt>
                <c:pt idx="8">
                  <c:v>3.4455817760840295E-10</c:v>
                </c:pt>
                <c:pt idx="9">
                  <c:v>2.3561682754680482E-10</c:v>
                </c:pt>
                <c:pt idx="10">
                  <c:v>3.2562109859850814E-10</c:v>
                </c:pt>
                <c:pt idx="11">
                  <c:v>3.184587147873371E-10</c:v>
                </c:pt>
                <c:pt idx="12">
                  <c:v>3.6674137995442489E-10</c:v>
                </c:pt>
                <c:pt idx="13">
                  <c:v>1.8477159295761248E-10</c:v>
                </c:pt>
                <c:pt idx="14">
                  <c:v>2.8835145931723326E-10</c:v>
                </c:pt>
                <c:pt idx="15">
                  <c:v>2.7205242998499983E-10</c:v>
                </c:pt>
                <c:pt idx="16">
                  <c:v>2.9146107081716046E-10</c:v>
                </c:pt>
                <c:pt idx="17">
                  <c:v>3.3348219278188616E-10</c:v>
                </c:pt>
                <c:pt idx="18">
                  <c:v>3.3261771365720679E-10</c:v>
                </c:pt>
                <c:pt idx="19">
                  <c:v>6.0978569631923078E-11</c:v>
                </c:pt>
                <c:pt idx="20">
                  <c:v>1.0385047589478132E-10</c:v>
                </c:pt>
                <c:pt idx="21">
                  <c:v>1.0738468690218755E-10</c:v>
                </c:pt>
                <c:pt idx="22">
                  <c:v>9.9184248365856179E-11</c:v>
                </c:pt>
                <c:pt idx="23">
                  <c:v>7.1874156156204465E-11</c:v>
                </c:pt>
                <c:pt idx="24">
                  <c:v>2.9000285061633712E-11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53312"/>
        <c:axId val="495652920"/>
      </c:lineChart>
      <c:catAx>
        <c:axId val="493421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652528"/>
        <c:crosses val="autoZero"/>
        <c:auto val="1"/>
        <c:lblAlgn val="ctr"/>
        <c:lblOffset val="100"/>
        <c:noMultiLvlLbl val="0"/>
      </c:catAx>
      <c:valAx>
        <c:axId val="4956525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421464"/>
        <c:crosses val="autoZero"/>
        <c:crossBetween val="between"/>
      </c:valAx>
      <c:valAx>
        <c:axId val="495652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653312"/>
        <c:crosses val="max"/>
        <c:crossBetween val="between"/>
      </c:valAx>
      <c:catAx>
        <c:axId val="495653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5652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03'!$A$2:$A$26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03'!$B$2:$B$26</c:f>
              <c:numCache>
                <c:formatCode>0.0</c:formatCode>
                <c:ptCount val="25"/>
                <c:pt idx="0">
                  <c:v>802.80499999999995</c:v>
                </c:pt>
                <c:pt idx="1">
                  <c:v>812.29200000000003</c:v>
                </c:pt>
                <c:pt idx="2">
                  <c:v>925.322</c:v>
                </c:pt>
                <c:pt idx="3">
                  <c:v>1196.9010000000001</c:v>
                </c:pt>
                <c:pt idx="4">
                  <c:v>1228.4079999999999</c:v>
                </c:pt>
                <c:pt idx="5">
                  <c:v>1380.682</c:v>
                </c:pt>
                <c:pt idx="6">
                  <c:v>1515.021</c:v>
                </c:pt>
                <c:pt idx="7">
                  <c:v>2204.0390000000002</c:v>
                </c:pt>
                <c:pt idx="8">
                  <c:v>1092.951</c:v>
                </c:pt>
                <c:pt idx="9">
                  <c:v>1017.932</c:v>
                </c:pt>
                <c:pt idx="10">
                  <c:v>956.29399999999998</c:v>
                </c:pt>
                <c:pt idx="11">
                  <c:v>820.83399999999995</c:v>
                </c:pt>
                <c:pt idx="12">
                  <c:v>507.65699999999998</c:v>
                </c:pt>
                <c:pt idx="13">
                  <c:v>728.75400000000002</c:v>
                </c:pt>
                <c:pt idx="14">
                  <c:v>1047.9079999999999</c:v>
                </c:pt>
                <c:pt idx="15">
                  <c:v>1532.8219999999999</c:v>
                </c:pt>
                <c:pt idx="16">
                  <c:v>1467.0630000000001</c:v>
                </c:pt>
                <c:pt idx="17">
                  <c:v>2303.5450000000001</c:v>
                </c:pt>
                <c:pt idx="18">
                  <c:v>1612.6079999999999</c:v>
                </c:pt>
                <c:pt idx="19">
                  <c:v>2935.0540000000001</c:v>
                </c:pt>
                <c:pt idx="20">
                  <c:v>2265.7539999999999</c:v>
                </c:pt>
                <c:pt idx="21">
                  <c:v>2209.4899999999998</c:v>
                </c:pt>
                <c:pt idx="22">
                  <c:v>19122.162</c:v>
                </c:pt>
                <c:pt idx="23">
                  <c:v>11780.574000000001</c:v>
                </c:pt>
                <c:pt idx="24">
                  <c:v>15830.123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20160"/>
        <c:axId val="518420552"/>
      </c:lineChart>
      <c:catAx>
        <c:axId val="51842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8420552"/>
        <c:crosses val="autoZero"/>
        <c:auto val="1"/>
        <c:lblAlgn val="ctr"/>
        <c:lblOffset val="100"/>
        <c:noMultiLvlLbl val="0"/>
      </c:catAx>
      <c:valAx>
        <c:axId val="518420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18420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03'!$A$2:$A$26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03'!$B$2:$B$26</c:f>
              <c:numCache>
                <c:formatCode>[$$-409]#,##0.00</c:formatCode>
                <c:ptCount val="25"/>
                <c:pt idx="0">
                  <c:v>62.638339000000002</c:v>
                </c:pt>
                <c:pt idx="1">
                  <c:v>47.426603999999998</c:v>
                </c:pt>
                <c:pt idx="2">
                  <c:v>62.939202000000002</c:v>
                </c:pt>
                <c:pt idx="3">
                  <c:v>83.067363</c:v>
                </c:pt>
                <c:pt idx="4">
                  <c:v>85.367000000000004</c:v>
                </c:pt>
                <c:pt idx="5">
                  <c:v>72.479942000000008</c:v>
                </c:pt>
                <c:pt idx="6">
                  <c:v>64.756554999999992</c:v>
                </c:pt>
                <c:pt idx="7">
                  <c:v>38.053021000000001</c:v>
                </c:pt>
                <c:pt idx="8">
                  <c:v>49.096153000000001</c:v>
                </c:pt>
                <c:pt idx="9">
                  <c:v>45.906714000000001</c:v>
                </c:pt>
                <c:pt idx="10">
                  <c:v>44.749546000000002</c:v>
                </c:pt>
                <c:pt idx="11">
                  <c:v>39.875973000000002</c:v>
                </c:pt>
                <c:pt idx="12">
                  <c:v>32.477709999999995</c:v>
                </c:pt>
                <c:pt idx="13">
                  <c:v>30.615143</c:v>
                </c:pt>
                <c:pt idx="14">
                  <c:v>30.426864999999999</c:v>
                </c:pt>
                <c:pt idx="15">
                  <c:v>26.213505999999999</c:v>
                </c:pt>
                <c:pt idx="16">
                  <c:v>17.242134</c:v>
                </c:pt>
                <c:pt idx="17">
                  <c:v>24.060525000000002</c:v>
                </c:pt>
                <c:pt idx="18">
                  <c:v>29.711566999999999</c:v>
                </c:pt>
                <c:pt idx="19">
                  <c:v>46.787745000000001</c:v>
                </c:pt>
                <c:pt idx="20">
                  <c:v>49.872636999999997</c:v>
                </c:pt>
                <c:pt idx="21">
                  <c:v>68.787554999999998</c:v>
                </c:pt>
                <c:pt idx="22">
                  <c:v>43.658855000000003</c:v>
                </c:pt>
                <c:pt idx="23">
                  <c:v>67.436423000000005</c:v>
                </c:pt>
                <c:pt idx="24">
                  <c:v>52.829897000000003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21336"/>
        <c:axId val="518421728"/>
      </c:lineChart>
      <c:catAx>
        <c:axId val="518421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8421728"/>
        <c:crosses val="autoZero"/>
        <c:auto val="1"/>
        <c:lblAlgn val="ctr"/>
        <c:lblOffset val="100"/>
        <c:noMultiLvlLbl val="0"/>
      </c:catAx>
      <c:valAx>
        <c:axId val="518421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[$$-409]#,##0.00" sourceLinked="1"/>
        <c:majorTickMark val="out"/>
        <c:minorTickMark val="none"/>
        <c:tickLblPos val="nextTo"/>
        <c:crossAx val="518421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03'!$C$6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03'!$A$7:$A$31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349688"/>
        <c:axId val="516350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03'!$B$6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03'!$A$7:$A$31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03'!$B$7:$B$31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63.441144000000001</c:v>
                      </c:pt>
                      <c:pt idx="1">
                        <c:v>48.238895999999997</c:v>
                      </c:pt>
                      <c:pt idx="2">
                        <c:v>63.864524000000003</c:v>
                      </c:pt>
                      <c:pt idx="3">
                        <c:v>84.264263999999997</c:v>
                      </c:pt>
                      <c:pt idx="4">
                        <c:v>86.595408000000006</c:v>
                      </c:pt>
                      <c:pt idx="5">
                        <c:v>73.860624000000001</c:v>
                      </c:pt>
                      <c:pt idx="6">
                        <c:v>66.271575999999996</c:v>
                      </c:pt>
                      <c:pt idx="7">
                        <c:v>40.257060000000003</c:v>
                      </c:pt>
                      <c:pt idx="8">
                        <c:v>50.189104</c:v>
                      </c:pt>
                      <c:pt idx="9">
                        <c:v>46.924646000000003</c:v>
                      </c:pt>
                      <c:pt idx="10">
                        <c:v>45.705840000000002</c:v>
                      </c:pt>
                      <c:pt idx="11">
                        <c:v>40.696807</c:v>
                      </c:pt>
                      <c:pt idx="12">
                        <c:v>32.985366999999997</c:v>
                      </c:pt>
                      <c:pt idx="13">
                        <c:v>31.343896999999998</c:v>
                      </c:pt>
                      <c:pt idx="14">
                        <c:v>31.474772999999999</c:v>
                      </c:pt>
                      <c:pt idx="15">
                        <c:v>27.746327999999998</c:v>
                      </c:pt>
                      <c:pt idx="16">
                        <c:v>18.709197</c:v>
                      </c:pt>
                      <c:pt idx="17">
                        <c:v>26.364070000000002</c:v>
                      </c:pt>
                      <c:pt idx="18">
                        <c:v>31.324175</c:v>
                      </c:pt>
                      <c:pt idx="19">
                        <c:v>49.722799000000002</c:v>
                      </c:pt>
                      <c:pt idx="20">
                        <c:v>52.138390999999999</c:v>
                      </c:pt>
                      <c:pt idx="21">
                        <c:v>70.997045</c:v>
                      </c:pt>
                      <c:pt idx="22">
                        <c:v>62.781016999999999</c:v>
                      </c:pt>
                      <c:pt idx="23">
                        <c:v>79.216997000000006</c:v>
                      </c:pt>
                      <c:pt idx="24">
                        <c:v>68.660020000000003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03'!$D$6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03'!$A$7:$A$31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03'!$D$7:$D$31</c:f>
              <c:numCache>
                <c:formatCode>0.00000%</c:formatCode>
                <c:ptCount val="25"/>
                <c:pt idx="0">
                  <c:v>1.5383567929272391E-6</c:v>
                </c:pt>
                <c:pt idx="1">
                  <c:v>9.7888193767062105E-7</c:v>
                </c:pt>
                <c:pt idx="2">
                  <c:v>1.1444734215401595E-6</c:v>
                </c:pt>
                <c:pt idx="3">
                  <c:v>1.0313422007924378E-6</c:v>
                </c:pt>
                <c:pt idx="4">
                  <c:v>9.360929222120769E-7</c:v>
                </c:pt>
                <c:pt idx="5">
                  <c:v>7.6019492777393121E-7</c:v>
                </c:pt>
                <c:pt idx="6">
                  <c:v>6.2133772474050196E-7</c:v>
                </c:pt>
                <c:pt idx="7">
                  <c:v>4.0893467370450537E-7</c:v>
                </c:pt>
                <c:pt idx="8">
                  <c:v>5.8233370635180497E-7</c:v>
                </c:pt>
                <c:pt idx="9">
                  <c:v>4.6977929506605438E-7</c:v>
                </c:pt>
                <c:pt idx="10">
                  <c:v>4.6541945116304147E-7</c:v>
                </c:pt>
                <c:pt idx="11">
                  <c:v>4.1555598168074638E-7</c:v>
                </c:pt>
                <c:pt idx="12">
                  <c:v>3.4837104524866629E-7</c:v>
                </c:pt>
                <c:pt idx="13">
                  <c:v>2.6772524454370879E-7</c:v>
                </c:pt>
                <c:pt idx="14">
                  <c:v>2.147477301039092E-7</c:v>
                </c:pt>
                <c:pt idx="15">
                  <c:v>1.706519654859447E-7</c:v>
                </c:pt>
                <c:pt idx="16">
                  <c:v>9.0201104942294079E-8</c:v>
                </c:pt>
                <c:pt idx="17">
                  <c:v>1.0805724473478974E-7</c:v>
                </c:pt>
                <c:pt idx="18">
                  <c:v>1.3396609017071836E-7</c:v>
                </c:pt>
                <c:pt idx="19">
                  <c:v>1.7323919410470155E-7</c:v>
                </c:pt>
                <c:pt idx="20">
                  <c:v>1.5544434995909704E-7</c:v>
                </c:pt>
                <c:pt idx="21">
                  <c:v>1.9206054900730986E-7</c:v>
                </c:pt>
                <c:pt idx="22">
                  <c:v>1.6512981995511605E-7</c:v>
                </c:pt>
                <c:pt idx="23">
                  <c:v>2.0933838078068956E-7</c:v>
                </c:pt>
                <c:pt idx="24">
                  <c:v>2.3507252607122947E-7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50864"/>
        <c:axId val="516350472"/>
      </c:lineChart>
      <c:catAx>
        <c:axId val="516349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0080"/>
        <c:crosses val="autoZero"/>
        <c:auto val="1"/>
        <c:lblAlgn val="ctr"/>
        <c:lblOffset val="100"/>
        <c:noMultiLvlLbl val="0"/>
      </c:catAx>
      <c:valAx>
        <c:axId val="51635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Millones de 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49688"/>
        <c:crosses val="autoZero"/>
        <c:crossBetween val="between"/>
      </c:valAx>
      <c:valAx>
        <c:axId val="516350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0864"/>
        <c:crosses val="max"/>
        <c:crossBetween val="between"/>
      </c:valAx>
      <c:catAx>
        <c:axId val="516350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6350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03'!$C$65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03'!$A$66:$A$90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351648"/>
        <c:axId val="5163520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03'!$B$65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03'!$A$66:$A$90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03'!$B$66:$B$90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802.80499999999995</c:v>
                      </c:pt>
                      <c:pt idx="1">
                        <c:v>812.29200000000003</c:v>
                      </c:pt>
                      <c:pt idx="2">
                        <c:v>925.322</c:v>
                      </c:pt>
                      <c:pt idx="3">
                        <c:v>1196.9010000000001</c:v>
                      </c:pt>
                      <c:pt idx="4">
                        <c:v>1228.4079999999999</c:v>
                      </c:pt>
                      <c:pt idx="5">
                        <c:v>1380.682</c:v>
                      </c:pt>
                      <c:pt idx="6">
                        <c:v>1515.021</c:v>
                      </c:pt>
                      <c:pt idx="7">
                        <c:v>2204.0390000000002</c:v>
                      </c:pt>
                      <c:pt idx="8">
                        <c:v>1092.951</c:v>
                      </c:pt>
                      <c:pt idx="9">
                        <c:v>1017.932</c:v>
                      </c:pt>
                      <c:pt idx="10">
                        <c:v>956.29399999999998</c:v>
                      </c:pt>
                      <c:pt idx="11">
                        <c:v>820.83399999999995</c:v>
                      </c:pt>
                      <c:pt idx="12">
                        <c:v>507.65699999999998</c:v>
                      </c:pt>
                      <c:pt idx="13">
                        <c:v>728.75400000000002</c:v>
                      </c:pt>
                      <c:pt idx="14">
                        <c:v>1047.9079999999999</c:v>
                      </c:pt>
                      <c:pt idx="15">
                        <c:v>1532.8219999999999</c:v>
                      </c:pt>
                      <c:pt idx="16">
                        <c:v>1467.0630000000001</c:v>
                      </c:pt>
                      <c:pt idx="17">
                        <c:v>2303.5450000000001</c:v>
                      </c:pt>
                      <c:pt idx="18">
                        <c:v>1612.6079999999999</c:v>
                      </c:pt>
                      <c:pt idx="19">
                        <c:v>2935.0540000000001</c:v>
                      </c:pt>
                      <c:pt idx="20">
                        <c:v>2265.7539999999999</c:v>
                      </c:pt>
                      <c:pt idx="21">
                        <c:v>2209.4899999999998</c:v>
                      </c:pt>
                      <c:pt idx="22">
                        <c:v>19122.162</c:v>
                      </c:pt>
                      <c:pt idx="23">
                        <c:v>11780.574000000001</c:v>
                      </c:pt>
                      <c:pt idx="24">
                        <c:v>15830.123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03'!$D$65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03'!$A$66:$A$90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03'!$D$66:$D$90</c:f>
              <c:numCache>
                <c:formatCode>0.00000000%</c:formatCode>
                <c:ptCount val="25"/>
                <c:pt idx="0">
                  <c:v>1.3002905875453085E-8</c:v>
                </c:pt>
                <c:pt idx="1">
                  <c:v>1.2421698411404649E-8</c:v>
                </c:pt>
                <c:pt idx="2">
                  <c:v>1.3451954274037691E-8</c:v>
                </c:pt>
                <c:pt idx="3">
                  <c:v>1.6376263809636527E-8</c:v>
                </c:pt>
                <c:pt idx="4">
                  <c:v>1.6028162618768641E-8</c:v>
                </c:pt>
                <c:pt idx="5">
                  <c:v>1.704503382076568E-8</c:v>
                </c:pt>
                <c:pt idx="6">
                  <c:v>1.7599098102285934E-8</c:v>
                </c:pt>
                <c:pt idx="7">
                  <c:v>2.4249073182495913E-8</c:v>
                </c:pt>
                <c:pt idx="8">
                  <c:v>1.1313461739117474E-8</c:v>
                </c:pt>
                <c:pt idx="9">
                  <c:v>9.8974610927468641E-9</c:v>
                </c:pt>
                <c:pt idx="10">
                  <c:v>9.0031053047009618E-9</c:v>
                </c:pt>
                <c:pt idx="11">
                  <c:v>7.4774124633318615E-9</c:v>
                </c:pt>
                <c:pt idx="12">
                  <c:v>4.4103166887765871E-9</c:v>
                </c:pt>
                <c:pt idx="13">
                  <c:v>5.9369309538923571E-9</c:v>
                </c:pt>
                <c:pt idx="14">
                  <c:v>8.0031306596762447E-9</c:v>
                </c:pt>
                <c:pt idx="15">
                  <c:v>1.1062603854765568E-8</c:v>
                </c:pt>
                <c:pt idx="16">
                  <c:v>1.0133305612415288E-8</c:v>
                </c:pt>
                <c:pt idx="17">
                  <c:v>1.5650590525636232E-8</c:v>
                </c:pt>
                <c:pt idx="18">
                  <c:v>1.1184112563518904E-8</c:v>
                </c:pt>
                <c:pt idx="19">
                  <c:v>1.9613612920074426E-8</c:v>
                </c:pt>
                <c:pt idx="20">
                  <c:v>1.4600881586882164E-8</c:v>
                </c:pt>
                <c:pt idx="21">
                  <c:v>1.3676602442982175E-8</c:v>
                </c:pt>
                <c:pt idx="22">
                  <c:v>1.1475711689739521E-7</c:v>
                </c:pt>
                <c:pt idx="23">
                  <c:v>6.7907110020845841E-8</c:v>
                </c:pt>
                <c:pt idx="24">
                  <c:v>8.8204861693845596E-8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52824"/>
        <c:axId val="516352432"/>
      </c:lineChart>
      <c:catAx>
        <c:axId val="516351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2040"/>
        <c:crosses val="autoZero"/>
        <c:auto val="1"/>
        <c:lblAlgn val="ctr"/>
        <c:lblOffset val="100"/>
        <c:noMultiLvlLbl val="0"/>
      </c:catAx>
      <c:valAx>
        <c:axId val="51635204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1648"/>
        <c:crosses val="autoZero"/>
        <c:crossBetween val="between"/>
      </c:valAx>
      <c:valAx>
        <c:axId val="5163524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2824"/>
        <c:crosses val="max"/>
        <c:crossBetween val="between"/>
      </c:valAx>
      <c:catAx>
        <c:axId val="516352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635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03'!$C$35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03'!$A$36:$A$60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353608"/>
        <c:axId val="516354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03'!$B$35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03'!$A$36:$A$60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03'!$B$36:$B$60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802.80499999999995</c:v>
                      </c:pt>
                      <c:pt idx="1">
                        <c:v>812.29200000000003</c:v>
                      </c:pt>
                      <c:pt idx="2">
                        <c:v>925.322</c:v>
                      </c:pt>
                      <c:pt idx="3">
                        <c:v>1196.9010000000001</c:v>
                      </c:pt>
                      <c:pt idx="4">
                        <c:v>1228.4079999999999</c:v>
                      </c:pt>
                      <c:pt idx="5">
                        <c:v>1380.682</c:v>
                      </c:pt>
                      <c:pt idx="6">
                        <c:v>1515.021</c:v>
                      </c:pt>
                      <c:pt idx="7">
                        <c:v>2204.0390000000002</c:v>
                      </c:pt>
                      <c:pt idx="8">
                        <c:v>1092.951</c:v>
                      </c:pt>
                      <c:pt idx="9">
                        <c:v>1017.932</c:v>
                      </c:pt>
                      <c:pt idx="10">
                        <c:v>956.29399999999998</c:v>
                      </c:pt>
                      <c:pt idx="11">
                        <c:v>820.83399999999995</c:v>
                      </c:pt>
                      <c:pt idx="12">
                        <c:v>507.65699999999998</c:v>
                      </c:pt>
                      <c:pt idx="13">
                        <c:v>728.75400000000002</c:v>
                      </c:pt>
                      <c:pt idx="14">
                        <c:v>1047.9079999999999</c:v>
                      </c:pt>
                      <c:pt idx="15">
                        <c:v>1532.8219999999999</c:v>
                      </c:pt>
                      <c:pt idx="16">
                        <c:v>1467.0630000000001</c:v>
                      </c:pt>
                      <c:pt idx="17">
                        <c:v>2303.5450000000001</c:v>
                      </c:pt>
                      <c:pt idx="18">
                        <c:v>1612.6079999999999</c:v>
                      </c:pt>
                      <c:pt idx="19">
                        <c:v>2935.0540000000001</c:v>
                      </c:pt>
                      <c:pt idx="20">
                        <c:v>2265.7539999999999</c:v>
                      </c:pt>
                      <c:pt idx="21">
                        <c:v>2209.4899999999998</c:v>
                      </c:pt>
                      <c:pt idx="22">
                        <c:v>19122.162</c:v>
                      </c:pt>
                      <c:pt idx="23">
                        <c:v>11780.574000000001</c:v>
                      </c:pt>
                      <c:pt idx="24">
                        <c:v>15830.123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03'!$D$35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03'!$A$36:$A$60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03'!$D$36:$D$60</c:f>
              <c:numCache>
                <c:formatCode>0.000000%</c:formatCode>
                <c:ptCount val="25"/>
                <c:pt idx="0">
                  <c:v>1.9466870350666327E-6</c:v>
                </c:pt>
                <c:pt idx="1">
                  <c:v>1.6483336743741903E-6</c:v>
                </c:pt>
                <c:pt idx="2">
                  <c:v>1.6582076699833907E-6</c:v>
                </c:pt>
                <c:pt idx="3">
                  <c:v>1.4649324077294142E-6</c:v>
                </c:pt>
                <c:pt idx="4">
                  <c:v>1.327904170609939E-6</c:v>
                </c:pt>
                <c:pt idx="5">
                  <c:v>1.4210378905934599E-6</c:v>
                </c:pt>
                <c:pt idx="6">
                  <c:v>1.4204275164273746E-6</c:v>
                </c:pt>
                <c:pt idx="7">
                  <c:v>2.2388817496782036E-6</c:v>
                </c:pt>
                <c:pt idx="8">
                  <c:v>1.2681282508867098E-6</c:v>
                </c:pt>
                <c:pt idx="9">
                  <c:v>1.0190878741742213E-6</c:v>
                </c:pt>
                <c:pt idx="10">
                  <c:v>9.7378765739894395E-7</c:v>
                </c:pt>
                <c:pt idx="11">
                  <c:v>8.3815538321454478E-7</c:v>
                </c:pt>
                <c:pt idx="12">
                  <c:v>5.3615592549812223E-7</c:v>
                </c:pt>
                <c:pt idx="13">
                  <c:v>6.2246836397594721E-7</c:v>
                </c:pt>
                <c:pt idx="14">
                  <c:v>7.1497215995085097E-7</c:v>
                </c:pt>
                <c:pt idx="15">
                  <c:v>9.4275208971831057E-7</c:v>
                </c:pt>
                <c:pt idx="16">
                  <c:v>7.0730295704276767E-7</c:v>
                </c:pt>
                <c:pt idx="17">
                  <c:v>9.4414377530707969E-7</c:v>
                </c:pt>
                <c:pt idx="18">
                  <c:v>6.8967431301230372E-7</c:v>
                </c:pt>
                <c:pt idx="19">
                  <c:v>1.0226021057539032E-6</c:v>
                </c:pt>
                <c:pt idx="20">
                  <c:v>6.7550733910684736E-7</c:v>
                </c:pt>
                <c:pt idx="21">
                  <c:v>5.9770918976439228E-7</c:v>
                </c:pt>
                <c:pt idx="22">
                  <c:v>5.029608182697266E-6</c:v>
                </c:pt>
                <c:pt idx="23">
                  <c:v>3.1131277115024834E-6</c:v>
                </c:pt>
                <c:pt idx="24">
                  <c:v>5.4197872380874179E-6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54784"/>
        <c:axId val="516354392"/>
      </c:lineChart>
      <c:catAx>
        <c:axId val="516353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4000"/>
        <c:crosses val="autoZero"/>
        <c:auto val="1"/>
        <c:lblAlgn val="ctr"/>
        <c:lblOffset val="100"/>
        <c:noMultiLvlLbl val="0"/>
      </c:catAx>
      <c:valAx>
        <c:axId val="51635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Millones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3608"/>
        <c:crosses val="autoZero"/>
        <c:crossBetween val="between"/>
      </c:valAx>
      <c:valAx>
        <c:axId val="516354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4784"/>
        <c:crosses val="max"/>
        <c:crossBetween val="between"/>
      </c:valAx>
      <c:catAx>
        <c:axId val="51635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6354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03'!$C$95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03'!$A$96:$A$120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355568"/>
        <c:axId val="516355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03'!$B$95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de Colombia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03'!$A$96:$A$120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03'!$B$96:$B$120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63.441144000000001</c:v>
                      </c:pt>
                      <c:pt idx="1">
                        <c:v>48.238895999999997</c:v>
                      </c:pt>
                      <c:pt idx="2">
                        <c:v>63.864524000000003</c:v>
                      </c:pt>
                      <c:pt idx="3">
                        <c:v>84.264263999999997</c:v>
                      </c:pt>
                      <c:pt idx="4">
                        <c:v>86.595408000000006</c:v>
                      </c:pt>
                      <c:pt idx="5">
                        <c:v>73.860624000000001</c:v>
                      </c:pt>
                      <c:pt idx="6">
                        <c:v>66.271575999999996</c:v>
                      </c:pt>
                      <c:pt idx="7">
                        <c:v>40.257060000000003</c:v>
                      </c:pt>
                      <c:pt idx="8">
                        <c:v>50.189104</c:v>
                      </c:pt>
                      <c:pt idx="9">
                        <c:v>46.924646000000003</c:v>
                      </c:pt>
                      <c:pt idx="10">
                        <c:v>45.705840000000002</c:v>
                      </c:pt>
                      <c:pt idx="11">
                        <c:v>40.696807</c:v>
                      </c:pt>
                      <c:pt idx="12">
                        <c:v>32.985366999999997</c:v>
                      </c:pt>
                      <c:pt idx="13">
                        <c:v>31.343896999999998</c:v>
                      </c:pt>
                      <c:pt idx="14">
                        <c:v>31.474772999999999</c:v>
                      </c:pt>
                      <c:pt idx="15">
                        <c:v>27.746327999999998</c:v>
                      </c:pt>
                      <c:pt idx="16">
                        <c:v>18.709197</c:v>
                      </c:pt>
                      <c:pt idx="17">
                        <c:v>26.364070000000002</c:v>
                      </c:pt>
                      <c:pt idx="18">
                        <c:v>31.324175</c:v>
                      </c:pt>
                      <c:pt idx="19">
                        <c:v>49.722799000000002</c:v>
                      </c:pt>
                      <c:pt idx="20">
                        <c:v>52.138390999999999</c:v>
                      </c:pt>
                      <c:pt idx="21">
                        <c:v>70.997045</c:v>
                      </c:pt>
                      <c:pt idx="22">
                        <c:v>62.781016999999999</c:v>
                      </c:pt>
                      <c:pt idx="23">
                        <c:v>79.216997000000006</c:v>
                      </c:pt>
                      <c:pt idx="24">
                        <c:v>68.660020000000003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03'!$D$95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03'!$A$96:$A$120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03'!$D$96:$D$120</c:f>
              <c:numCache>
                <c:formatCode>0.000000000%</c:formatCode>
                <c:ptCount val="25"/>
                <c:pt idx="0">
                  <c:v>1.0275461962283062E-10</c:v>
                </c:pt>
                <c:pt idx="1">
                  <c:v>7.3767686719937412E-11</c:v>
                </c:pt>
                <c:pt idx="2">
                  <c:v>9.2843643248640232E-11</c:v>
                </c:pt>
                <c:pt idx="3">
                  <c:v>1.1529222692510556E-10</c:v>
                </c:pt>
                <c:pt idx="4">
                  <c:v>1.1298894841637461E-10</c:v>
                </c:pt>
                <c:pt idx="5">
                  <c:v>9.1183692849103381E-11</c:v>
                </c:pt>
                <c:pt idx="6">
                  <c:v>7.6983749229687119E-11</c:v>
                </c:pt>
                <c:pt idx="7">
                  <c:v>4.4291248659943356E-11</c:v>
                </c:pt>
                <c:pt idx="8">
                  <c:v>5.1952238281916367E-11</c:v>
                </c:pt>
                <c:pt idx="9">
                  <c:v>4.5625332347928911E-11</c:v>
                </c:pt>
                <c:pt idx="10">
                  <c:v>4.3030123639781648E-11</c:v>
                </c:pt>
                <c:pt idx="11">
                  <c:v>3.7072880981978252E-11</c:v>
                </c:pt>
                <c:pt idx="12">
                  <c:v>2.8656339726531987E-11</c:v>
                </c:pt>
                <c:pt idx="13">
                  <c:v>2.553489275049108E-11</c:v>
                </c:pt>
                <c:pt idx="14">
                  <c:v>2.4038056852571985E-11</c:v>
                </c:pt>
                <c:pt idx="15">
                  <c:v>2.0024936691174176E-11</c:v>
                </c:pt>
                <c:pt idx="16">
                  <c:v>1.2922826829105721E-11</c:v>
                </c:pt>
                <c:pt idx="17">
                  <c:v>1.791209914107215E-11</c:v>
                </c:pt>
                <c:pt idx="18">
                  <c:v>2.1724628623903933E-11</c:v>
                </c:pt>
                <c:pt idx="19">
                  <c:v>3.3227454516634581E-11</c:v>
                </c:pt>
                <c:pt idx="20">
                  <c:v>3.3598814042546667E-11</c:v>
                </c:pt>
                <c:pt idx="21">
                  <c:v>4.3946718884969628E-11</c:v>
                </c:pt>
                <c:pt idx="22">
                  <c:v>3.7676537343457065E-11</c:v>
                </c:pt>
                <c:pt idx="23">
                  <c:v>4.5663287126756431E-11</c:v>
                </c:pt>
                <c:pt idx="24">
                  <c:v>3.8257109992112333E-11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56744"/>
        <c:axId val="516356352"/>
      </c:lineChart>
      <c:catAx>
        <c:axId val="516355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5960"/>
        <c:crosses val="autoZero"/>
        <c:auto val="1"/>
        <c:lblAlgn val="ctr"/>
        <c:lblOffset val="100"/>
        <c:noMultiLvlLbl val="0"/>
      </c:catAx>
      <c:valAx>
        <c:axId val="51635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5568"/>
        <c:crosses val="autoZero"/>
        <c:crossBetween val="between"/>
      </c:valAx>
      <c:valAx>
        <c:axId val="5163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6356744"/>
        <c:crosses val="max"/>
        <c:crossBetween val="between"/>
      </c:valAx>
      <c:catAx>
        <c:axId val="516356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63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03'!$C$124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03'!$A$125:$A$149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686888"/>
        <c:axId val="462687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03'!$B$124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03'!$A$125:$A$149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03'!$B$125:$B$149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64.243949000000001</c:v>
                      </c:pt>
                      <c:pt idx="1">
                        <c:v>49.051187999999996</c:v>
                      </c:pt>
                      <c:pt idx="2">
                        <c:v>64.789846000000011</c:v>
                      </c:pt>
                      <c:pt idx="3">
                        <c:v>85.461164999999994</c:v>
                      </c:pt>
                      <c:pt idx="4">
                        <c:v>87.823816000000008</c:v>
                      </c:pt>
                      <c:pt idx="5">
                        <c:v>75.241305999999994</c:v>
                      </c:pt>
                      <c:pt idx="6">
                        <c:v>67.786597</c:v>
                      </c:pt>
                      <c:pt idx="7">
                        <c:v>42.461099000000004</c:v>
                      </c:pt>
                      <c:pt idx="8">
                        <c:v>51.282055</c:v>
                      </c:pt>
                      <c:pt idx="9">
                        <c:v>47.942578000000005</c:v>
                      </c:pt>
                      <c:pt idx="10">
                        <c:v>46.662134000000009</c:v>
                      </c:pt>
                      <c:pt idx="11">
                        <c:v>41.517641000000005</c:v>
                      </c:pt>
                      <c:pt idx="12">
                        <c:v>33.493023999999998</c:v>
                      </c:pt>
                      <c:pt idx="13">
                        <c:v>32.072651</c:v>
                      </c:pt>
                      <c:pt idx="14">
                        <c:v>32.522680999999999</c:v>
                      </c:pt>
                      <c:pt idx="15">
                        <c:v>29.279149999999998</c:v>
                      </c:pt>
                      <c:pt idx="16">
                        <c:v>20.176260000000003</c:v>
                      </c:pt>
                      <c:pt idx="17">
                        <c:v>28.667615000000005</c:v>
                      </c:pt>
                      <c:pt idx="18">
                        <c:v>32.936782999999998</c:v>
                      </c:pt>
                      <c:pt idx="19">
                        <c:v>52.657853000000003</c:v>
                      </c:pt>
                      <c:pt idx="20">
                        <c:v>54.404145</c:v>
                      </c:pt>
                      <c:pt idx="21">
                        <c:v>73.206535000000002</c:v>
                      </c:pt>
                      <c:pt idx="22">
                        <c:v>81.903179000000009</c:v>
                      </c:pt>
                      <c:pt idx="23">
                        <c:v>90.997570999999994</c:v>
                      </c:pt>
                      <c:pt idx="24">
                        <c:v>84.490143000000018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03'!$D$124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03'!$A$125:$A$149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03'!$D$125:$D$149</c:f>
              <c:numCache>
                <c:formatCode>0.00000%</c:formatCode>
                <c:ptCount val="25"/>
                <c:pt idx="0">
                  <c:v>1.5578236632779053E-6</c:v>
                </c:pt>
                <c:pt idx="1">
                  <c:v>9.9536527441436307E-7</c:v>
                </c:pt>
                <c:pt idx="2">
                  <c:v>1.1610554982399936E-6</c:v>
                </c:pt>
                <c:pt idx="3">
                  <c:v>1.0459915248697321E-6</c:v>
                </c:pt>
                <c:pt idx="4">
                  <c:v>9.4937196391817621E-7</c:v>
                </c:pt>
                <c:pt idx="5">
                  <c:v>7.7440530667986562E-7</c:v>
                </c:pt>
                <c:pt idx="6">
                  <c:v>6.355419999047757E-7</c:v>
                </c:pt>
                <c:pt idx="7">
                  <c:v>4.3132349120128736E-7</c:v>
                </c:pt>
                <c:pt idx="8">
                  <c:v>5.9501498886067205E-7</c:v>
                </c:pt>
                <c:pt idx="9">
                  <c:v>4.7997017380779655E-7</c:v>
                </c:pt>
                <c:pt idx="10">
                  <c:v>4.7515732773703102E-7</c:v>
                </c:pt>
                <c:pt idx="11">
                  <c:v>4.2393753551289166E-7</c:v>
                </c:pt>
                <c:pt idx="12">
                  <c:v>3.5373260450364754E-7</c:v>
                </c:pt>
                <c:pt idx="13">
                  <c:v>2.7394992818346828E-7</c:v>
                </c:pt>
                <c:pt idx="14">
                  <c:v>2.218974517034177E-7</c:v>
                </c:pt>
                <c:pt idx="15">
                  <c:v>1.800794863831278E-7</c:v>
                </c:pt>
                <c:pt idx="16">
                  <c:v>9.7274134512721759E-8</c:v>
                </c:pt>
                <c:pt idx="17">
                  <c:v>1.1749868248786056E-7</c:v>
                </c:pt>
                <c:pt idx="18">
                  <c:v>1.4086283330084137E-7</c:v>
                </c:pt>
                <c:pt idx="19">
                  <c:v>1.8346521516224061E-7</c:v>
                </c:pt>
                <c:pt idx="20">
                  <c:v>1.6219942335016552E-7</c:v>
                </c:pt>
                <c:pt idx="21">
                  <c:v>1.9803764090495378E-7</c:v>
                </c:pt>
                <c:pt idx="22">
                  <c:v>2.1542590178208871E-7</c:v>
                </c:pt>
                <c:pt idx="23">
                  <c:v>2.4046965789571432E-7</c:v>
                </c:pt>
                <c:pt idx="24">
                  <c:v>2.8927039845210369E-7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88064"/>
        <c:axId val="462687672"/>
      </c:lineChart>
      <c:catAx>
        <c:axId val="462686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87280"/>
        <c:crosses val="autoZero"/>
        <c:auto val="1"/>
        <c:lblAlgn val="ctr"/>
        <c:lblOffset val="100"/>
        <c:noMultiLvlLbl val="0"/>
      </c:catAx>
      <c:valAx>
        <c:axId val="46268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86888"/>
        <c:crosses val="autoZero"/>
        <c:crossBetween val="between"/>
        <c:majorUnit val="80000"/>
      </c:valAx>
      <c:valAx>
        <c:axId val="462687672"/>
        <c:scaling>
          <c:orientation val="minMax"/>
          <c:max val="2.0000000000000008E-6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88064"/>
        <c:crosses val="max"/>
        <c:crossBetween val="between"/>
        <c:majorUnit val="4.0000000000000019E-7"/>
      </c:valAx>
      <c:catAx>
        <c:axId val="462688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2687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03'!$C$153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03'!$A$154:$A$178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688848"/>
        <c:axId val="462689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03'!$B$153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03'!$A$154:$A$178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03'!$B$154:$B$178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64.243949000000001</c:v>
                      </c:pt>
                      <c:pt idx="1">
                        <c:v>49.051187999999996</c:v>
                      </c:pt>
                      <c:pt idx="2">
                        <c:v>64.789846000000011</c:v>
                      </c:pt>
                      <c:pt idx="3">
                        <c:v>85.461164999999994</c:v>
                      </c:pt>
                      <c:pt idx="4">
                        <c:v>87.823816000000008</c:v>
                      </c:pt>
                      <c:pt idx="5">
                        <c:v>75.241305999999994</c:v>
                      </c:pt>
                      <c:pt idx="6">
                        <c:v>67.786597</c:v>
                      </c:pt>
                      <c:pt idx="7">
                        <c:v>42.461099000000004</c:v>
                      </c:pt>
                      <c:pt idx="8">
                        <c:v>51.282055</c:v>
                      </c:pt>
                      <c:pt idx="9">
                        <c:v>47.942578000000005</c:v>
                      </c:pt>
                      <c:pt idx="10">
                        <c:v>46.662134000000009</c:v>
                      </c:pt>
                      <c:pt idx="11">
                        <c:v>41.517641000000005</c:v>
                      </c:pt>
                      <c:pt idx="12">
                        <c:v>33.493023999999998</c:v>
                      </c:pt>
                      <c:pt idx="13">
                        <c:v>32.072651</c:v>
                      </c:pt>
                      <c:pt idx="14">
                        <c:v>32.522680999999999</c:v>
                      </c:pt>
                      <c:pt idx="15">
                        <c:v>29.279149999999998</c:v>
                      </c:pt>
                      <c:pt idx="16">
                        <c:v>20.176260000000003</c:v>
                      </c:pt>
                      <c:pt idx="17">
                        <c:v>28.667615000000005</c:v>
                      </c:pt>
                      <c:pt idx="18">
                        <c:v>32.936782999999998</c:v>
                      </c:pt>
                      <c:pt idx="19">
                        <c:v>52.657853000000003</c:v>
                      </c:pt>
                      <c:pt idx="20">
                        <c:v>54.404145</c:v>
                      </c:pt>
                      <c:pt idx="21">
                        <c:v>73.206535000000002</c:v>
                      </c:pt>
                      <c:pt idx="22">
                        <c:v>81.903179000000009</c:v>
                      </c:pt>
                      <c:pt idx="23">
                        <c:v>90.997570999999994</c:v>
                      </c:pt>
                      <c:pt idx="24">
                        <c:v>84.490143000000018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03'!$D$153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03'!$A$154:$A$178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03'!$D$154:$D$178</c:f>
              <c:numCache>
                <c:formatCode>0.000000%</c:formatCode>
                <c:ptCount val="25"/>
                <c:pt idx="0">
                  <c:v>1.0405491021037592E-7</c:v>
                </c:pt>
                <c:pt idx="1">
                  <c:v>7.5009856561077869E-8</c:v>
                </c:pt>
                <c:pt idx="2">
                  <c:v>9.4188838676044013E-8</c:v>
                </c:pt>
                <c:pt idx="3">
                  <c:v>1.1692985330606921E-7</c:v>
                </c:pt>
                <c:pt idx="4">
                  <c:v>1.1459176467825148E-7</c:v>
                </c:pt>
                <c:pt idx="5">
                  <c:v>9.2888196231179935E-8</c:v>
                </c:pt>
                <c:pt idx="6">
                  <c:v>7.8743659039915727E-8</c:v>
                </c:pt>
                <c:pt idx="7">
                  <c:v>4.6716155978192954E-8</c:v>
                </c:pt>
                <c:pt idx="8">
                  <c:v>5.3083584455828114E-8</c:v>
                </c:pt>
                <c:pt idx="9">
                  <c:v>4.6615078457203605E-8</c:v>
                </c:pt>
                <c:pt idx="10">
                  <c:v>4.3930434170251739E-8</c:v>
                </c:pt>
                <c:pt idx="11">
                  <c:v>3.7820622228311441E-8</c:v>
                </c:pt>
                <c:pt idx="12">
                  <c:v>2.9097371395409652E-8</c:v>
                </c:pt>
                <c:pt idx="13">
                  <c:v>2.6128585845880316E-8</c:v>
                </c:pt>
                <c:pt idx="14">
                  <c:v>2.483836991853961E-8</c:v>
                </c:pt>
                <c:pt idx="15">
                  <c:v>2.1131197076650734E-8</c:v>
                </c:pt>
                <c:pt idx="16">
                  <c:v>1.3936157390347251E-8</c:v>
                </c:pt>
                <c:pt idx="17">
                  <c:v>1.9477158193635775E-8</c:v>
                </c:pt>
                <c:pt idx="18">
                  <c:v>2.2843039880255823E-8</c:v>
                </c:pt>
                <c:pt idx="19">
                  <c:v>3.5188815808642022E-8</c:v>
                </c:pt>
                <c:pt idx="20">
                  <c:v>3.5058902201234883E-8</c:v>
                </c:pt>
                <c:pt idx="21">
                  <c:v>4.5314379129267845E-8</c:v>
                </c:pt>
                <c:pt idx="22">
                  <c:v>4.915224903319659E-8</c:v>
                </c:pt>
                <c:pt idx="23">
                  <c:v>5.2453998128841004E-8</c:v>
                </c:pt>
                <c:pt idx="24">
                  <c:v>4.70775961614969E-8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90024"/>
        <c:axId val="462689632"/>
      </c:lineChart>
      <c:catAx>
        <c:axId val="462688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89240"/>
        <c:crosses val="autoZero"/>
        <c:auto val="1"/>
        <c:lblAlgn val="ctr"/>
        <c:lblOffset val="100"/>
        <c:noMultiLvlLbl val="0"/>
      </c:catAx>
      <c:valAx>
        <c:axId val="46268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88848"/>
        <c:crosses val="autoZero"/>
        <c:crossBetween val="between"/>
        <c:majorUnit val="4000"/>
      </c:valAx>
      <c:valAx>
        <c:axId val="4626896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0024"/>
        <c:crosses val="max"/>
        <c:crossBetween val="between"/>
      </c:valAx>
      <c:catAx>
        <c:axId val="462690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2689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03'!$D$183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03'!$A$184:$A$208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690808"/>
        <c:axId val="462691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03'!$B$183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03'!$A$184:$A$208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03'!$B$184:$B$208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64.243949000000001</c:v>
                      </c:pt>
                      <c:pt idx="1">
                        <c:v>49.051187999999996</c:v>
                      </c:pt>
                      <c:pt idx="2">
                        <c:v>64.789846000000011</c:v>
                      </c:pt>
                      <c:pt idx="3">
                        <c:v>85.461164999999994</c:v>
                      </c:pt>
                      <c:pt idx="4">
                        <c:v>87.823816000000008</c:v>
                      </c:pt>
                      <c:pt idx="5">
                        <c:v>75.241305999999994</c:v>
                      </c:pt>
                      <c:pt idx="6">
                        <c:v>67.786597</c:v>
                      </c:pt>
                      <c:pt idx="7">
                        <c:v>42.461099000000004</c:v>
                      </c:pt>
                      <c:pt idx="8">
                        <c:v>51.282055</c:v>
                      </c:pt>
                      <c:pt idx="9">
                        <c:v>47.942578000000005</c:v>
                      </c:pt>
                      <c:pt idx="10">
                        <c:v>46.662134000000009</c:v>
                      </c:pt>
                      <c:pt idx="11">
                        <c:v>41.517641000000005</c:v>
                      </c:pt>
                      <c:pt idx="12">
                        <c:v>33.493023999999998</c:v>
                      </c:pt>
                      <c:pt idx="13">
                        <c:v>32.072651</c:v>
                      </c:pt>
                      <c:pt idx="14">
                        <c:v>32.522680999999999</c:v>
                      </c:pt>
                      <c:pt idx="15">
                        <c:v>29.279149999999998</c:v>
                      </c:pt>
                      <c:pt idx="16">
                        <c:v>20.176260000000003</c:v>
                      </c:pt>
                      <c:pt idx="17">
                        <c:v>28.667615000000005</c:v>
                      </c:pt>
                      <c:pt idx="18">
                        <c:v>32.936782999999998</c:v>
                      </c:pt>
                      <c:pt idx="19">
                        <c:v>52.657853000000003</c:v>
                      </c:pt>
                      <c:pt idx="20">
                        <c:v>54.404145</c:v>
                      </c:pt>
                      <c:pt idx="21">
                        <c:v>73.206535000000002</c:v>
                      </c:pt>
                      <c:pt idx="22">
                        <c:v>81.903179000000009</c:v>
                      </c:pt>
                      <c:pt idx="23">
                        <c:v>90.997570999999994</c:v>
                      </c:pt>
                      <c:pt idx="24">
                        <c:v>84.490143000000018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03'!$C$183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03'!$A$184:$A$208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03'!$C$184:$C$208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32.1219745</c:v>
                      </c:pt>
                      <c:pt idx="1">
                        <c:v>24.525593999999998</c:v>
                      </c:pt>
                      <c:pt idx="2">
                        <c:v>32.394923000000006</c:v>
                      </c:pt>
                      <c:pt idx="3">
                        <c:v>42.730582499999997</c:v>
                      </c:pt>
                      <c:pt idx="4">
                        <c:v>43.911908000000004</c:v>
                      </c:pt>
                      <c:pt idx="5">
                        <c:v>37.620652999999997</c:v>
                      </c:pt>
                      <c:pt idx="6">
                        <c:v>33.8932985</c:v>
                      </c:pt>
                      <c:pt idx="7">
                        <c:v>21.230549500000002</c:v>
                      </c:pt>
                      <c:pt idx="8">
                        <c:v>25.6410275</c:v>
                      </c:pt>
                      <c:pt idx="9">
                        <c:v>23.971289000000002</c:v>
                      </c:pt>
                      <c:pt idx="10">
                        <c:v>23.331067000000004</c:v>
                      </c:pt>
                      <c:pt idx="11">
                        <c:v>20.758820500000002</c:v>
                      </c:pt>
                      <c:pt idx="12">
                        <c:v>16.746511999999999</c:v>
                      </c:pt>
                      <c:pt idx="13">
                        <c:v>16.0363255</c:v>
                      </c:pt>
                      <c:pt idx="14">
                        <c:v>16.261340499999999</c:v>
                      </c:pt>
                      <c:pt idx="15">
                        <c:v>14.639574999999999</c:v>
                      </c:pt>
                      <c:pt idx="16">
                        <c:v>10.088130000000001</c:v>
                      </c:pt>
                      <c:pt idx="17">
                        <c:v>14.333807500000002</c:v>
                      </c:pt>
                      <c:pt idx="18">
                        <c:v>16.468391499999999</c:v>
                      </c:pt>
                      <c:pt idx="19">
                        <c:v>26.328926500000001</c:v>
                      </c:pt>
                      <c:pt idx="20">
                        <c:v>27.2020725</c:v>
                      </c:pt>
                      <c:pt idx="21">
                        <c:v>36.603267500000001</c:v>
                      </c:pt>
                      <c:pt idx="22">
                        <c:v>40.951589500000004</c:v>
                      </c:pt>
                      <c:pt idx="23">
                        <c:v>45.498785499999997</c:v>
                      </c:pt>
                      <c:pt idx="24">
                        <c:v>42.245071500000009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03'!$E$183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03'!$A$184:$A$208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03'!$E$184:$E$208</c:f>
              <c:numCache>
                <c:formatCode>0.0000000%</c:formatCode>
                <c:ptCount val="25"/>
                <c:pt idx="0">
                  <c:v>7.7891183163895264E-7</c:v>
                </c:pt>
                <c:pt idx="1">
                  <c:v>4.9768263720718154E-7</c:v>
                </c:pt>
                <c:pt idx="2">
                  <c:v>5.8052774911999679E-7</c:v>
                </c:pt>
                <c:pt idx="3">
                  <c:v>5.2299576243486596E-7</c:v>
                </c:pt>
                <c:pt idx="4">
                  <c:v>4.7468598195908816E-7</c:v>
                </c:pt>
                <c:pt idx="5">
                  <c:v>3.8720265333993287E-7</c:v>
                </c:pt>
                <c:pt idx="6">
                  <c:v>3.1777099995238785E-7</c:v>
                </c:pt>
                <c:pt idx="7">
                  <c:v>2.1566174560064371E-7</c:v>
                </c:pt>
                <c:pt idx="8">
                  <c:v>2.9750749443033603E-7</c:v>
                </c:pt>
                <c:pt idx="9">
                  <c:v>2.3998508690389827E-7</c:v>
                </c:pt>
                <c:pt idx="10">
                  <c:v>2.3757866386851551E-7</c:v>
                </c:pt>
                <c:pt idx="11">
                  <c:v>2.1196876775644583E-7</c:v>
                </c:pt>
                <c:pt idx="12">
                  <c:v>1.7686630225182377E-7</c:v>
                </c:pt>
                <c:pt idx="13">
                  <c:v>1.3697496409173414E-7</c:v>
                </c:pt>
                <c:pt idx="14">
                  <c:v>1.1094872585170885E-7</c:v>
                </c:pt>
                <c:pt idx="15">
                  <c:v>9.0039743191563898E-8</c:v>
                </c:pt>
                <c:pt idx="16">
                  <c:v>4.8637067256360886E-8</c:v>
                </c:pt>
                <c:pt idx="17">
                  <c:v>5.8749341243930274E-8</c:v>
                </c:pt>
                <c:pt idx="18">
                  <c:v>7.0431416650420696E-8</c:v>
                </c:pt>
                <c:pt idx="19">
                  <c:v>9.1732607581120303E-8</c:v>
                </c:pt>
                <c:pt idx="20">
                  <c:v>8.109971167508276E-8</c:v>
                </c:pt>
                <c:pt idx="21">
                  <c:v>9.9018820452476891E-8</c:v>
                </c:pt>
                <c:pt idx="22">
                  <c:v>1.0771295089104437E-7</c:v>
                </c:pt>
                <c:pt idx="23">
                  <c:v>1.2023482894785719E-7</c:v>
                </c:pt>
                <c:pt idx="24">
                  <c:v>1.4463519922605184E-7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91984"/>
        <c:axId val="462691592"/>
      </c:lineChart>
      <c:catAx>
        <c:axId val="462690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1200"/>
        <c:crosses val="autoZero"/>
        <c:auto val="1"/>
        <c:lblAlgn val="ctr"/>
        <c:lblOffset val="100"/>
        <c:noMultiLvlLbl val="0"/>
      </c:catAx>
      <c:valAx>
        <c:axId val="46269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0808"/>
        <c:crosses val="autoZero"/>
        <c:crossBetween val="between"/>
        <c:majorUnit val="80000"/>
      </c:valAx>
      <c:valAx>
        <c:axId val="462691592"/>
        <c:scaling>
          <c:orientation val="minMax"/>
          <c:max val="1.0000000000000004E-6"/>
          <c:min val="0"/>
        </c:scaling>
        <c:delete val="0"/>
        <c:axPos val="r"/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1984"/>
        <c:crosses val="max"/>
        <c:crossBetween val="between"/>
        <c:majorUnit val="2.000000000000001E-7"/>
      </c:valAx>
      <c:catAx>
        <c:axId val="462691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2691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03'!$D$212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03'!$A$213:$A$237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692768"/>
        <c:axId val="4626931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03'!$B$212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03'!$A$213:$A$237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03'!$B$213:$B$237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64.243949000000001</c:v>
                      </c:pt>
                      <c:pt idx="1">
                        <c:v>49.051187999999996</c:v>
                      </c:pt>
                      <c:pt idx="2">
                        <c:v>64.789846000000011</c:v>
                      </c:pt>
                      <c:pt idx="3">
                        <c:v>85.461164999999994</c:v>
                      </c:pt>
                      <c:pt idx="4">
                        <c:v>87.823816000000008</c:v>
                      </c:pt>
                      <c:pt idx="5">
                        <c:v>75.241305999999994</c:v>
                      </c:pt>
                      <c:pt idx="6">
                        <c:v>67.786597</c:v>
                      </c:pt>
                      <c:pt idx="7">
                        <c:v>42.461099000000004</c:v>
                      </c:pt>
                      <c:pt idx="8">
                        <c:v>51.282055</c:v>
                      </c:pt>
                      <c:pt idx="9">
                        <c:v>47.942578000000005</c:v>
                      </c:pt>
                      <c:pt idx="10">
                        <c:v>46.662134000000009</c:v>
                      </c:pt>
                      <c:pt idx="11">
                        <c:v>41.517641000000005</c:v>
                      </c:pt>
                      <c:pt idx="12">
                        <c:v>33.493023999999998</c:v>
                      </c:pt>
                      <c:pt idx="13">
                        <c:v>32.072651</c:v>
                      </c:pt>
                      <c:pt idx="14">
                        <c:v>32.522680999999999</c:v>
                      </c:pt>
                      <c:pt idx="15">
                        <c:v>29.279149999999998</c:v>
                      </c:pt>
                      <c:pt idx="16">
                        <c:v>20.176260000000003</c:v>
                      </c:pt>
                      <c:pt idx="17">
                        <c:v>28.667615000000005</c:v>
                      </c:pt>
                      <c:pt idx="18">
                        <c:v>32.936782999999998</c:v>
                      </c:pt>
                      <c:pt idx="19">
                        <c:v>52.657853000000003</c:v>
                      </c:pt>
                      <c:pt idx="20">
                        <c:v>54.404145</c:v>
                      </c:pt>
                      <c:pt idx="21">
                        <c:v>73.206535000000002</c:v>
                      </c:pt>
                      <c:pt idx="22">
                        <c:v>81.903179000000009</c:v>
                      </c:pt>
                      <c:pt idx="23">
                        <c:v>90.997570999999994</c:v>
                      </c:pt>
                      <c:pt idx="24">
                        <c:v>84.490143000000018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03'!$C$212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03'!$A$213:$A$237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03'!$C$213:$C$237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32.1219745</c:v>
                      </c:pt>
                      <c:pt idx="1">
                        <c:v>24.525593999999998</c:v>
                      </c:pt>
                      <c:pt idx="2">
                        <c:v>32.394923000000006</c:v>
                      </c:pt>
                      <c:pt idx="3">
                        <c:v>42.730582499999997</c:v>
                      </c:pt>
                      <c:pt idx="4">
                        <c:v>43.911908000000004</c:v>
                      </c:pt>
                      <c:pt idx="5">
                        <c:v>37.620652999999997</c:v>
                      </c:pt>
                      <c:pt idx="6">
                        <c:v>33.8932985</c:v>
                      </c:pt>
                      <c:pt idx="7">
                        <c:v>21.230549500000002</c:v>
                      </c:pt>
                      <c:pt idx="8">
                        <c:v>25.6410275</c:v>
                      </c:pt>
                      <c:pt idx="9">
                        <c:v>23.971289000000002</c:v>
                      </c:pt>
                      <c:pt idx="10">
                        <c:v>23.331067000000004</c:v>
                      </c:pt>
                      <c:pt idx="11">
                        <c:v>20.758820500000002</c:v>
                      </c:pt>
                      <c:pt idx="12">
                        <c:v>16.746511999999999</c:v>
                      </c:pt>
                      <c:pt idx="13">
                        <c:v>16.0363255</c:v>
                      </c:pt>
                      <c:pt idx="14">
                        <c:v>16.261340499999999</c:v>
                      </c:pt>
                      <c:pt idx="15">
                        <c:v>14.639574999999999</c:v>
                      </c:pt>
                      <c:pt idx="16">
                        <c:v>10.088130000000001</c:v>
                      </c:pt>
                      <c:pt idx="17">
                        <c:v>14.333807500000002</c:v>
                      </c:pt>
                      <c:pt idx="18">
                        <c:v>16.468391499999999</c:v>
                      </c:pt>
                      <c:pt idx="19">
                        <c:v>26.328926500000001</c:v>
                      </c:pt>
                      <c:pt idx="20">
                        <c:v>27.2020725</c:v>
                      </c:pt>
                      <c:pt idx="21">
                        <c:v>36.603267500000001</c:v>
                      </c:pt>
                      <c:pt idx="22">
                        <c:v>40.951589500000004</c:v>
                      </c:pt>
                      <c:pt idx="23">
                        <c:v>45.498785499999997</c:v>
                      </c:pt>
                      <c:pt idx="24">
                        <c:v>42.245071500000009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03'!$E$212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03'!$A$213:$A$237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03'!$E$213:$E$237</c:f>
              <c:numCache>
                <c:formatCode>0.0000000%</c:formatCode>
                <c:ptCount val="25"/>
                <c:pt idx="0">
                  <c:v>5.2027455105187963E-7</c:v>
                </c:pt>
                <c:pt idx="1">
                  <c:v>3.7504928280538937E-7</c:v>
                </c:pt>
                <c:pt idx="2">
                  <c:v>4.7094419338022004E-7</c:v>
                </c:pt>
                <c:pt idx="3">
                  <c:v>5.8464926653034604E-7</c:v>
                </c:pt>
                <c:pt idx="4">
                  <c:v>5.7295882339125742E-7</c:v>
                </c:pt>
                <c:pt idx="5">
                  <c:v>4.6444098115589965E-7</c:v>
                </c:pt>
                <c:pt idx="6">
                  <c:v>3.9371829519957861E-7</c:v>
                </c:pt>
                <c:pt idx="7">
                  <c:v>2.3358077989096476E-7</c:v>
                </c:pt>
                <c:pt idx="8">
                  <c:v>2.6541792227914054E-7</c:v>
                </c:pt>
                <c:pt idx="9">
                  <c:v>2.3307539228601802E-7</c:v>
                </c:pt>
                <c:pt idx="10">
                  <c:v>2.1965217085125871E-7</c:v>
                </c:pt>
                <c:pt idx="11">
                  <c:v>1.8910311114155721E-7</c:v>
                </c:pt>
                <c:pt idx="12">
                  <c:v>1.4548685697704826E-7</c:v>
                </c:pt>
                <c:pt idx="13">
                  <c:v>1.3064292922940158E-7</c:v>
                </c:pt>
                <c:pt idx="14">
                  <c:v>1.2419184959269806E-7</c:v>
                </c:pt>
                <c:pt idx="15">
                  <c:v>1.0565598538325366E-7</c:v>
                </c:pt>
                <c:pt idx="16">
                  <c:v>6.9680786951736257E-8</c:v>
                </c:pt>
                <c:pt idx="17">
                  <c:v>9.7385790968178883E-8</c:v>
                </c:pt>
                <c:pt idx="18">
                  <c:v>1.1421519940127912E-7</c:v>
                </c:pt>
                <c:pt idx="19">
                  <c:v>1.7594407904321011E-7</c:v>
                </c:pt>
                <c:pt idx="20">
                  <c:v>1.752945110061744E-7</c:v>
                </c:pt>
                <c:pt idx="21">
                  <c:v>2.2657189564633923E-7</c:v>
                </c:pt>
                <c:pt idx="22">
                  <c:v>2.4576124516598295E-7</c:v>
                </c:pt>
                <c:pt idx="23">
                  <c:v>2.6226999064420503E-7</c:v>
                </c:pt>
                <c:pt idx="24">
                  <c:v>2.353879808074845E-7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93944"/>
        <c:axId val="462693552"/>
      </c:lineChart>
      <c:catAx>
        <c:axId val="462692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3160"/>
        <c:crosses val="autoZero"/>
        <c:auto val="1"/>
        <c:lblAlgn val="ctr"/>
        <c:lblOffset val="100"/>
        <c:noMultiLvlLbl val="0"/>
      </c:catAx>
      <c:valAx>
        <c:axId val="46269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2768"/>
        <c:crosses val="autoZero"/>
        <c:crossBetween val="between"/>
        <c:majorUnit val="4000"/>
      </c:valAx>
      <c:valAx>
        <c:axId val="462693552"/>
        <c:scaling>
          <c:orientation val="minMax"/>
        </c:scaling>
        <c:delete val="0"/>
        <c:axPos val="r"/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3944"/>
        <c:crosses val="max"/>
        <c:crossBetween val="between"/>
      </c:valAx>
      <c:catAx>
        <c:axId val="462693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2693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00'!$C$35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00'!$A$36:$A$60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654096"/>
        <c:axId val="500291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00'!$B$35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00'!$A$36:$A$60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00'!$B$36:$B$60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1806.394</c:v>
                      </c:pt>
                      <c:pt idx="1">
                        <c:v>3152.6379999999999</c:v>
                      </c:pt>
                      <c:pt idx="2">
                        <c:v>3215.2869999999998</c:v>
                      </c:pt>
                      <c:pt idx="3">
                        <c:v>4474.9809999999998</c:v>
                      </c:pt>
                      <c:pt idx="4">
                        <c:v>3992.277</c:v>
                      </c:pt>
                      <c:pt idx="5">
                        <c:v>5379.8019999999997</c:v>
                      </c:pt>
                      <c:pt idx="6">
                        <c:v>3821.105</c:v>
                      </c:pt>
                      <c:pt idx="7">
                        <c:v>3538.69</c:v>
                      </c:pt>
                      <c:pt idx="8">
                        <c:v>3328.6469999999999</c:v>
                      </c:pt>
                      <c:pt idx="9">
                        <c:v>2423.2669999999998</c:v>
                      </c:pt>
                      <c:pt idx="10">
                        <c:v>3458.69</c:v>
                      </c:pt>
                      <c:pt idx="11">
                        <c:v>3495.8850000000002</c:v>
                      </c:pt>
                      <c:pt idx="12">
                        <c:v>4221.4390000000003</c:v>
                      </c:pt>
                      <c:pt idx="13">
                        <c:v>2268.058</c:v>
                      </c:pt>
                      <c:pt idx="14">
                        <c:v>3775.5949999999998</c:v>
                      </c:pt>
                      <c:pt idx="15">
                        <c:v>3769.5279999999998</c:v>
                      </c:pt>
                      <c:pt idx="16">
                        <c:v>4219.6670000000004</c:v>
                      </c:pt>
                      <c:pt idx="17">
                        <c:v>4908.3850000000002</c:v>
                      </c:pt>
                      <c:pt idx="18">
                        <c:v>4795.9279999999999</c:v>
                      </c:pt>
                      <c:pt idx="19">
                        <c:v>912.50599999999997</c:v>
                      </c:pt>
                      <c:pt idx="20">
                        <c:v>1611.5440000000001</c:v>
                      </c:pt>
                      <c:pt idx="21">
                        <c:v>1734.827</c:v>
                      </c:pt>
                      <c:pt idx="22">
                        <c:v>1652.723</c:v>
                      </c:pt>
                      <c:pt idx="23">
                        <c:v>1246.8779999999999</c:v>
                      </c:pt>
                      <c:pt idx="24">
                        <c:v>520.46799999999996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00'!$D$35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00'!$A$36:$A$60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00'!$D$36:$D$60</c:f>
              <c:numCache>
                <c:formatCode>0.0000%</c:formatCode>
                <c:ptCount val="25"/>
                <c:pt idx="0">
                  <c:v>4.3802464857869034E-5</c:v>
                </c:pt>
                <c:pt idx="1">
                  <c:v>6.3974523675127873E-5</c:v>
                </c:pt>
                <c:pt idx="2">
                  <c:v>5.7619007919382515E-5</c:v>
                </c:pt>
                <c:pt idx="3">
                  <c:v>5.4770985159786654E-5</c:v>
                </c:pt>
                <c:pt idx="4">
                  <c:v>4.3156355856768557E-5</c:v>
                </c:pt>
                <c:pt idx="5">
                  <c:v>5.5370479849020097E-5</c:v>
                </c:pt>
                <c:pt idx="6">
                  <c:v>3.5825263710260277E-5</c:v>
                </c:pt>
                <c:pt idx="7">
                  <c:v>3.5946317006045543E-5</c:v>
                </c:pt>
                <c:pt idx="8">
                  <c:v>3.8621596923643363E-5</c:v>
                </c:pt>
                <c:pt idx="9">
                  <c:v>2.4260186491696328E-5</c:v>
                </c:pt>
                <c:pt idx="10">
                  <c:v>3.5219604355660015E-5</c:v>
                </c:pt>
                <c:pt idx="11">
                  <c:v>3.5696557791818802E-5</c:v>
                </c:pt>
                <c:pt idx="12">
                  <c:v>4.4584227814821185E-5</c:v>
                </c:pt>
                <c:pt idx="13">
                  <c:v>1.9372714971891184E-5</c:v>
                </c:pt>
                <c:pt idx="14">
                  <c:v>2.5760327359363928E-5</c:v>
                </c:pt>
                <c:pt idx="15">
                  <c:v>2.3184234041863201E-5</c:v>
                </c:pt>
                <c:pt idx="16">
                  <c:v>2.0343931697792015E-5</c:v>
                </c:pt>
                <c:pt idx="17">
                  <c:v>2.0117779963320191E-5</c:v>
                </c:pt>
                <c:pt idx="18">
                  <c:v>2.0511050104281212E-5</c:v>
                </c:pt>
                <c:pt idx="19">
                  <c:v>3.1792619730780801E-6</c:v>
                </c:pt>
                <c:pt idx="20">
                  <c:v>4.8046248590694544E-6</c:v>
                </c:pt>
                <c:pt idx="21">
                  <c:v>4.6930379433778452E-6</c:v>
                </c:pt>
                <c:pt idx="22">
                  <c:v>4.3470759867696829E-6</c:v>
                </c:pt>
                <c:pt idx="23">
                  <c:v>3.2949926333494384E-6</c:v>
                </c:pt>
                <c:pt idx="24">
                  <c:v>1.7819355062704706E-6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91904"/>
        <c:axId val="500291512"/>
      </c:lineChart>
      <c:catAx>
        <c:axId val="495654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291120"/>
        <c:crosses val="autoZero"/>
        <c:auto val="1"/>
        <c:lblAlgn val="ctr"/>
        <c:lblOffset val="100"/>
        <c:noMultiLvlLbl val="0"/>
      </c:catAx>
      <c:valAx>
        <c:axId val="50029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5654096"/>
        <c:crosses val="autoZero"/>
        <c:crossBetween val="between"/>
      </c:valAx>
      <c:valAx>
        <c:axId val="500291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291904"/>
        <c:crosses val="max"/>
        <c:crossBetween val="between"/>
      </c:valAx>
      <c:catAx>
        <c:axId val="500291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91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03'!$D$5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03'!$D$6:$D$30</c:f>
              <c:numCache>
                <c:formatCode>"$"\ #,##0.00000</c:formatCode>
                <c:ptCount val="25"/>
                <c:pt idx="0">
                  <c:v>1.8214213548615483</c:v>
                </c:pt>
                <c:pt idx="1">
                  <c:v>1.3580410878766158</c:v>
                </c:pt>
                <c:pt idx="2">
                  <c:v>1.7638670285403628</c:v>
                </c:pt>
                <c:pt idx="3">
                  <c:v>2.286440582076716</c:v>
                </c:pt>
                <c:pt idx="4">
                  <c:v>2.3109250317515522</c:v>
                </c:pt>
                <c:pt idx="5">
                  <c:v>1.9402260951112547</c:v>
                </c:pt>
                <c:pt idx="6">
                  <c:v>1.7152941822627163</c:v>
                </c:pt>
                <c:pt idx="7">
                  <c:v>1.0273732012510266</c:v>
                </c:pt>
                <c:pt idx="8">
                  <c:v>1.263229195648172</c:v>
                </c:pt>
                <c:pt idx="9">
                  <c:v>1.164511487282111</c:v>
                </c:pt>
                <c:pt idx="10">
                  <c:v>1.1198695060543755</c:v>
                </c:pt>
                <c:pt idx="11">
                  <c:v>0.98470759777728012</c:v>
                </c:pt>
                <c:pt idx="12">
                  <c:v>0.7882004185576037</c:v>
                </c:pt>
                <c:pt idx="13">
                  <c:v>0.73979265581078424</c:v>
                </c:pt>
                <c:pt idx="14">
                  <c:v>0.73387284432186539</c:v>
                </c:pt>
                <c:pt idx="15">
                  <c:v>0.63922858881394062</c:v>
                </c:pt>
                <c:pt idx="16">
                  <c:v>0.42591634393562999</c:v>
                </c:pt>
                <c:pt idx="17">
                  <c:v>0.59310213075041684</c:v>
                </c:pt>
                <c:pt idx="18">
                  <c:v>0.69642037392167055</c:v>
                </c:pt>
                <c:pt idx="19">
                  <c:v>1.0925786313493879</c:v>
                </c:pt>
                <c:pt idx="20">
                  <c:v>1.1323453753025245</c:v>
                </c:pt>
                <c:pt idx="21">
                  <c:v>1.5241362494550719</c:v>
                </c:pt>
                <c:pt idx="22">
                  <c:v>1.3323337455125452</c:v>
                </c:pt>
                <c:pt idx="23">
                  <c:v>1.6620651886174558</c:v>
                </c:pt>
                <c:pt idx="24">
                  <c:v>1.4243811199644507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03'!$D$35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03'!$D$36:$D$60</c:f>
              <c:numCache>
                <c:formatCode>"$"\ #,##0.0000</c:formatCode>
                <c:ptCount val="25"/>
                <c:pt idx="0">
                  <c:v>2.3048861962350887E-2</c:v>
                </c:pt>
                <c:pt idx="1">
                  <c:v>2.2867975903790836E-2</c:v>
                </c:pt>
                <c:pt idx="2">
                  <c:v>2.5556363131791694E-2</c:v>
                </c:pt>
                <c:pt idx="3">
                  <c:v>3.2476911198419819E-2</c:v>
                </c:pt>
                <c:pt idx="4">
                  <c:v>3.2781862941322022E-2</c:v>
                </c:pt>
                <c:pt idx="5">
                  <c:v>3.6268787079979138E-2</c:v>
                </c:pt>
                <c:pt idx="6">
                  <c:v>3.9212990910399398E-2</c:v>
                </c:pt>
                <c:pt idx="7">
                  <c:v>5.6247788663953899E-2</c:v>
                </c:pt>
                <c:pt idx="8">
                  <c:v>2.7508911348823148E-2</c:v>
                </c:pt>
                <c:pt idx="9">
                  <c:v>2.5261639848536178E-2</c:v>
                </c:pt>
                <c:pt idx="10">
                  <c:v>2.3430802046801084E-2</c:v>
                </c:pt>
                <c:pt idx="11">
                  <c:v>1.9861053873683896E-2</c:v>
                </c:pt>
                <c:pt idx="12">
                  <c:v>1.2130696010861346E-2</c:v>
                </c:pt>
                <c:pt idx="13">
                  <c:v>1.7200377384239501E-2</c:v>
                </c:pt>
                <c:pt idx="14">
                  <c:v>2.4433257216744254E-2</c:v>
                </c:pt>
                <c:pt idx="15">
                  <c:v>3.5313632995435003E-2</c:v>
                </c:pt>
                <c:pt idx="16">
                  <c:v>3.3397804795322707E-2</c:v>
                </c:pt>
                <c:pt idx="17">
                  <c:v>5.1821947361673261E-2</c:v>
                </c:pt>
                <c:pt idx="18">
                  <c:v>3.5852598395618634E-2</c:v>
                </c:pt>
                <c:pt idx="19">
                  <c:v>6.4493096662891936E-2</c:v>
                </c:pt>
                <c:pt idx="20">
                  <c:v>4.9207810487922353E-2</c:v>
                </c:pt>
                <c:pt idx="21">
                  <c:v>4.7432450207026029E-2</c:v>
                </c:pt>
                <c:pt idx="22">
                  <c:v>0.40580899987264724</c:v>
                </c:pt>
                <c:pt idx="23">
                  <c:v>0.24717021206107948</c:v>
                </c:pt>
                <c:pt idx="24">
                  <c:v>0.32840258898723024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03'!$D$64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03'!$D$65:$D$89</c:f>
              <c:numCache>
                <c:formatCode>"$"\ #,##0.00</c:formatCode>
                <c:ptCount val="25"/>
                <c:pt idx="0">
                  <c:v>1.8444702168238993</c:v>
                </c:pt>
                <c:pt idx="1">
                  <c:v>1.3809090637804065</c:v>
                </c:pt>
                <c:pt idx="2">
                  <c:v>1.7894233916721545</c:v>
                </c:pt>
                <c:pt idx="3">
                  <c:v>2.3189174932751362</c:v>
                </c:pt>
                <c:pt idx="4">
                  <c:v>2.3437068946928741</c:v>
                </c:pt>
                <c:pt idx="5">
                  <c:v>1.9764948821912336</c:v>
                </c:pt>
                <c:pt idx="6">
                  <c:v>1.7545071731731159</c:v>
                </c:pt>
                <c:pt idx="7">
                  <c:v>1.0836209899149807</c:v>
                </c:pt>
                <c:pt idx="8">
                  <c:v>1.2907381069969952</c:v>
                </c:pt>
                <c:pt idx="9">
                  <c:v>1.1897731271306473</c:v>
                </c:pt>
                <c:pt idx="10">
                  <c:v>1.1433003081011766</c:v>
                </c:pt>
                <c:pt idx="11">
                  <c:v>1.0045686516509638</c:v>
                </c:pt>
                <c:pt idx="12">
                  <c:v>0.80033111456846506</c:v>
                </c:pt>
                <c:pt idx="13">
                  <c:v>0.75699303319502376</c:v>
                </c:pt>
                <c:pt idx="14">
                  <c:v>0.75830610153860967</c:v>
                </c:pt>
                <c:pt idx="15">
                  <c:v>0.67454222180937562</c:v>
                </c:pt>
                <c:pt idx="16">
                  <c:v>0.45931414873095272</c:v>
                </c:pt>
                <c:pt idx="17">
                  <c:v>0.64492407811209018</c:v>
                </c:pt>
                <c:pt idx="18">
                  <c:v>0.73227297231728905</c:v>
                </c:pt>
                <c:pt idx="19">
                  <c:v>1.15707172801228</c:v>
                </c:pt>
                <c:pt idx="20">
                  <c:v>1.1815531857904469</c:v>
                </c:pt>
                <c:pt idx="21">
                  <c:v>1.5715686996620979</c:v>
                </c:pt>
                <c:pt idx="22">
                  <c:v>1.7381427453851925</c:v>
                </c:pt>
                <c:pt idx="23">
                  <c:v>1.9092354006785353</c:v>
                </c:pt>
                <c:pt idx="24">
                  <c:v>1.7527837089516811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349648"/>
        <c:axId val="443350040"/>
      </c:lineChart>
      <c:catAx>
        <c:axId val="443349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0040"/>
        <c:crosses val="autoZero"/>
        <c:auto val="1"/>
        <c:lblAlgn val="ctr"/>
        <c:lblOffset val="100"/>
        <c:noMultiLvlLbl val="0"/>
      </c:catAx>
      <c:valAx>
        <c:axId val="443350040"/>
        <c:scaling>
          <c:orientation val="minMax"/>
          <c:max val="2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49648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03'!$D$96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03'!$D$97:$D$121</c:f>
              <c:numCache>
                <c:formatCode>"$"\ #,##0.0000</c:formatCode>
                <c:ptCount val="25"/>
                <c:pt idx="0">
                  <c:v>3.1653852219856475E-3</c:v>
                </c:pt>
                <c:pt idx="1">
                  <c:v>3.1666328806000408E-3</c:v>
                </c:pt>
                <c:pt idx="2">
                  <c:v>3.5708657011318599E-3</c:v>
                </c:pt>
                <c:pt idx="3">
                  <c:v>4.5326685879399078E-3</c:v>
                </c:pt>
                <c:pt idx="4">
                  <c:v>4.6111757595777743E-3</c:v>
                </c:pt>
                <c:pt idx="5">
                  <c:v>5.1339828208083887E-3</c:v>
                </c:pt>
                <c:pt idx="6">
                  <c:v>5.5825113214708144E-3</c:v>
                </c:pt>
                <c:pt idx="7">
                  <c:v>8.1154964946388592E-3</c:v>
                </c:pt>
                <c:pt idx="8">
                  <c:v>3.9885229031033772E-3</c:v>
                </c:pt>
                <c:pt idx="9">
                  <c:v>3.5720803341542946E-3</c:v>
                </c:pt>
                <c:pt idx="10">
                  <c:v>3.3247922062237434E-3</c:v>
                </c:pt>
                <c:pt idx="11">
                  <c:v>2.8294090117142708E-3</c:v>
                </c:pt>
                <c:pt idx="12">
                  <c:v>1.7337698582216227E-3</c:v>
                </c:pt>
                <c:pt idx="13">
                  <c:v>2.4660340653148895E-3</c:v>
                </c:pt>
                <c:pt idx="14">
                  <c:v>3.5119924561141367E-3</c:v>
                </c:pt>
                <c:pt idx="15">
                  <c:v>5.0885232485225204E-3</c:v>
                </c:pt>
                <c:pt idx="16">
                  <c:v>4.8243739239469162E-3</c:v>
                </c:pt>
                <c:pt idx="17">
                  <c:v>7.5089921398800996E-3</c:v>
                </c:pt>
                <c:pt idx="18">
                  <c:v>5.2230973456205863E-3</c:v>
                </c:pt>
                <c:pt idx="19">
                  <c:v>9.4879001871351239E-3</c:v>
                </c:pt>
                <c:pt idx="20">
                  <c:v>7.2685170594769628E-3</c:v>
                </c:pt>
                <c:pt idx="21">
                  <c:v>7.0340816375739608E-3</c:v>
                </c:pt>
                <c:pt idx="22">
                  <c:v>6.0418044777733194E-2</c:v>
                </c:pt>
                <c:pt idx="23">
                  <c:v>3.6946254687868663E-2</c:v>
                </c:pt>
                <c:pt idx="24">
                  <c:v>4.9250765714341178E-2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03'!$D$126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03'!$D$127:$D$151</c:f>
              <c:numCache>
                <c:formatCode>"$"\ #,##0.0000</c:formatCode>
                <c:ptCount val="25"/>
                <c:pt idx="0">
                  <c:v>0.25014251242015612</c:v>
                </c:pt>
                <c:pt idx="1">
                  <c:v>0.18805414087230427</c:v>
                </c:pt>
                <c:pt idx="2">
                  <c:v>0.24645651813175576</c:v>
                </c:pt>
                <c:pt idx="3">
                  <c:v>0.31910908464332105</c:v>
                </c:pt>
                <c:pt idx="4">
                  <c:v>0.32506027823031702</c:v>
                </c:pt>
                <c:pt idx="5">
                  <c:v>0.27464627970103744</c:v>
                </c:pt>
                <c:pt idx="6">
                  <c:v>0.244195838415252</c:v>
                </c:pt>
                <c:pt idx="7">
                  <c:v>0.14823060268646165</c:v>
                </c:pt>
                <c:pt idx="8">
                  <c:v>0.18315586955887075</c:v>
                </c:pt>
                <c:pt idx="9">
                  <c:v>0.16466581772038993</c:v>
                </c:pt>
                <c:pt idx="10">
                  <c:v>0.15890763782990316</c:v>
                </c:pt>
                <c:pt idx="11">
                  <c:v>0.14028160684595964</c:v>
                </c:pt>
                <c:pt idx="12">
                  <c:v>0.11265290356870522</c:v>
                </c:pt>
                <c:pt idx="13">
                  <c:v>0.10606475949596321</c:v>
                </c:pt>
                <c:pt idx="14">
                  <c:v>0.10548556298253751</c:v>
                </c:pt>
                <c:pt idx="15">
                  <c:v>9.2109739479947036E-2</c:v>
                </c:pt>
                <c:pt idx="16">
                  <c:v>6.1524394074955108E-2</c:v>
                </c:pt>
                <c:pt idx="17">
                  <c:v>8.5940406810046568E-2</c:v>
                </c:pt>
                <c:pt idx="18">
                  <c:v>0.10145628404190897</c:v>
                </c:pt>
                <c:pt idx="19">
                  <c:v>0.1607346760696676</c:v>
                </c:pt>
                <c:pt idx="20">
                  <c:v>0.16725945730965505</c:v>
                </c:pt>
                <c:pt idx="21">
                  <c:v>0.22602456248116637</c:v>
                </c:pt>
                <c:pt idx="22">
                  <c:v>0.19836179069592805</c:v>
                </c:pt>
                <c:pt idx="23">
                  <c:v>0.24844047045331813</c:v>
                </c:pt>
                <c:pt idx="24">
                  <c:v>0.21361543172860881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03'!$D$155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03'!$D$156:$D$180</c:f>
              <c:numCache>
                <c:formatCode>"$"\ #,##0.0000</c:formatCode>
                <c:ptCount val="25"/>
                <c:pt idx="0">
                  <c:v>0.25330789764214179</c:v>
                </c:pt>
                <c:pt idx="1">
                  <c:v>0.19122077375290428</c:v>
                </c:pt>
                <c:pt idx="2">
                  <c:v>0.25002738383288758</c:v>
                </c:pt>
                <c:pt idx="3">
                  <c:v>0.32364175323126093</c:v>
                </c:pt>
                <c:pt idx="4">
                  <c:v>0.32967145398989484</c:v>
                </c:pt>
                <c:pt idx="5">
                  <c:v>0.27978026252184579</c:v>
                </c:pt>
                <c:pt idx="6">
                  <c:v>0.24977834973672283</c:v>
                </c:pt>
                <c:pt idx="7">
                  <c:v>0.15634609918110051</c:v>
                </c:pt>
                <c:pt idx="8">
                  <c:v>0.18714439246197415</c:v>
                </c:pt>
                <c:pt idx="9">
                  <c:v>0.16823789805454423</c:v>
                </c:pt>
                <c:pt idx="10">
                  <c:v>0.16223243003612692</c:v>
                </c:pt>
                <c:pt idx="11">
                  <c:v>0.14311101585767388</c:v>
                </c:pt>
                <c:pt idx="12">
                  <c:v>0.11438667342692685</c:v>
                </c:pt>
                <c:pt idx="13">
                  <c:v>0.10853079356127809</c:v>
                </c:pt>
                <c:pt idx="14">
                  <c:v>0.10899755543865164</c:v>
                </c:pt>
                <c:pt idx="15">
                  <c:v>9.7198262728469556E-2</c:v>
                </c:pt>
                <c:pt idx="16">
                  <c:v>6.634876799890202E-2</c:v>
                </c:pt>
                <c:pt idx="17">
                  <c:v>9.3449398949926682E-2</c:v>
                </c:pt>
                <c:pt idx="18">
                  <c:v>0.10667938138752955</c:v>
                </c:pt>
                <c:pt idx="19">
                  <c:v>0.17022257625680273</c:v>
                </c:pt>
                <c:pt idx="20">
                  <c:v>0.17452797436913201</c:v>
                </c:pt>
                <c:pt idx="21">
                  <c:v>0.23305864411874033</c:v>
                </c:pt>
                <c:pt idx="22">
                  <c:v>0.25877983547366123</c:v>
                </c:pt>
                <c:pt idx="23">
                  <c:v>0.28538672514118679</c:v>
                </c:pt>
                <c:pt idx="24">
                  <c:v>0.26286619744294998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350824"/>
        <c:axId val="443351216"/>
      </c:lineChart>
      <c:catAx>
        <c:axId val="443350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1216"/>
        <c:crosses val="autoZero"/>
        <c:auto val="1"/>
        <c:lblAlgn val="ctr"/>
        <c:lblOffset val="100"/>
        <c:noMultiLvlLbl val="0"/>
      </c:catAx>
      <c:valAx>
        <c:axId val="4433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03'!$D$5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03'!$B$6:$B$30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03'!$D$6:$D$30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352000"/>
        <c:axId val="4433523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03'!$C$5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03'!$B$6:$B$30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03'!$C$6:$C$30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63.441144000000001</c:v>
                      </c:pt>
                      <c:pt idx="1">
                        <c:v>48.238895999999997</c:v>
                      </c:pt>
                      <c:pt idx="2">
                        <c:v>63.864524000000003</c:v>
                      </c:pt>
                      <c:pt idx="3">
                        <c:v>84.264263999999997</c:v>
                      </c:pt>
                      <c:pt idx="4">
                        <c:v>86.595408000000006</c:v>
                      </c:pt>
                      <c:pt idx="5">
                        <c:v>73.860624000000001</c:v>
                      </c:pt>
                      <c:pt idx="6">
                        <c:v>66.271575999999996</c:v>
                      </c:pt>
                      <c:pt idx="7">
                        <c:v>40.257060000000003</c:v>
                      </c:pt>
                      <c:pt idx="8">
                        <c:v>50.189104</c:v>
                      </c:pt>
                      <c:pt idx="9">
                        <c:v>46.924646000000003</c:v>
                      </c:pt>
                      <c:pt idx="10">
                        <c:v>45.705840000000002</c:v>
                      </c:pt>
                      <c:pt idx="11">
                        <c:v>40.696807</c:v>
                      </c:pt>
                      <c:pt idx="12">
                        <c:v>32.985366999999997</c:v>
                      </c:pt>
                      <c:pt idx="13">
                        <c:v>31.343896999999998</c:v>
                      </c:pt>
                      <c:pt idx="14">
                        <c:v>31.474772999999999</c:v>
                      </c:pt>
                      <c:pt idx="15">
                        <c:v>27.746327999999998</c:v>
                      </c:pt>
                      <c:pt idx="16">
                        <c:v>18.709197</c:v>
                      </c:pt>
                      <c:pt idx="17">
                        <c:v>26.364070000000002</c:v>
                      </c:pt>
                      <c:pt idx="18">
                        <c:v>31.324175</c:v>
                      </c:pt>
                      <c:pt idx="19">
                        <c:v>49.722799000000002</c:v>
                      </c:pt>
                      <c:pt idx="20">
                        <c:v>52.138390999999999</c:v>
                      </c:pt>
                      <c:pt idx="21">
                        <c:v>70.997045</c:v>
                      </c:pt>
                      <c:pt idx="22">
                        <c:v>62.781016999999999</c:v>
                      </c:pt>
                      <c:pt idx="23">
                        <c:v>79.216997000000006</c:v>
                      </c:pt>
                      <c:pt idx="24">
                        <c:v>68.660020000000003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03'!$E$5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03'!$B$6:$B$30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03'!$E$6:$E$30</c:f>
              <c:numCache>
                <c:formatCode>0.000000000%</c:formatCode>
                <c:ptCount val="25"/>
                <c:pt idx="0">
                  <c:v>2.053999528598773E-11</c:v>
                </c:pt>
                <c:pt idx="1">
                  <c:v>1.3126665973673139E-11</c:v>
                </c:pt>
                <c:pt idx="2">
                  <c:v>1.1791002031246714E-11</c:v>
                </c:pt>
                <c:pt idx="3">
                  <c:v>1.0199776962283433E-11</c:v>
                </c:pt>
                <c:pt idx="4">
                  <c:v>8.8835592913621379E-12</c:v>
                </c:pt>
                <c:pt idx="5">
                  <c:v>5.3754066090306075E-12</c:v>
                </c:pt>
                <c:pt idx="6">
                  <c:v>3.935356697129573E-12</c:v>
                </c:pt>
                <c:pt idx="7">
                  <c:v>2.1802499769286064E-12</c:v>
                </c:pt>
                <c:pt idx="8">
                  <c:v>2.75012948141024E-12</c:v>
                </c:pt>
                <c:pt idx="9">
                  <c:v>2.6993319067177489E-12</c:v>
                </c:pt>
                <c:pt idx="10">
                  <c:v>2.6953560585130089E-12</c:v>
                </c:pt>
                <c:pt idx="11">
                  <c:v>2.1077268076444289E-12</c:v>
                </c:pt>
                <c:pt idx="12">
                  <c:v>1.618602787175018E-12</c:v>
                </c:pt>
                <c:pt idx="13">
                  <c:v>1.4220367513140637E-12</c:v>
                </c:pt>
                <c:pt idx="14">
                  <c:v>1.234190164843117E-12</c:v>
                </c:pt>
                <c:pt idx="15">
                  <c:v>9.5799365230537935E-13</c:v>
                </c:pt>
                <c:pt idx="16">
                  <c:v>5.9231335487449865E-13</c:v>
                </c:pt>
                <c:pt idx="17">
                  <c:v>7.3850067114473716E-13</c:v>
                </c:pt>
                <c:pt idx="18">
                  <c:v>7.5668885878748702E-13</c:v>
                </c:pt>
                <c:pt idx="19">
                  <c:v>1.042998988608038E-12</c:v>
                </c:pt>
                <c:pt idx="20">
                  <c:v>1.1588748156306408E-12</c:v>
                </c:pt>
                <c:pt idx="21">
                  <c:v>1.4351299421741867E-12</c:v>
                </c:pt>
                <c:pt idx="22">
                  <c:v>1.072361593378481E-12</c:v>
                </c:pt>
                <c:pt idx="23">
                  <c:v>1.3043926288319737E-12</c:v>
                </c:pt>
                <c:pt idx="24">
                  <c:v>1.0639499432307096E-12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53176"/>
        <c:axId val="443352784"/>
      </c:lineChart>
      <c:catAx>
        <c:axId val="443352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2392"/>
        <c:crosses val="autoZero"/>
        <c:auto val="1"/>
        <c:lblAlgn val="ctr"/>
        <c:lblOffset val="100"/>
        <c:noMultiLvlLbl val="0"/>
      </c:catAx>
      <c:valAx>
        <c:axId val="44335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2000"/>
        <c:crosses val="autoZero"/>
        <c:crossBetween val="between"/>
      </c:valAx>
      <c:valAx>
        <c:axId val="443352784"/>
        <c:scaling>
          <c:orientation val="minMax"/>
        </c:scaling>
        <c:delete val="0"/>
        <c:axPos val="r"/>
        <c:numFmt formatCode="0.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3176"/>
        <c:crosses val="max"/>
        <c:crossBetween val="between"/>
      </c:valAx>
      <c:catAx>
        <c:axId val="443353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352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03'!$D$36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03'!$B$37:$B$61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03'!$D$37:$D$61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353960"/>
        <c:axId val="443354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03'!$C$36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03'!$B$37:$B$61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03'!$C$37:$C$61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802.80499999999995</c:v>
                      </c:pt>
                      <c:pt idx="1">
                        <c:v>812.29200000000003</c:v>
                      </c:pt>
                      <c:pt idx="2">
                        <c:v>925.322</c:v>
                      </c:pt>
                      <c:pt idx="3">
                        <c:v>1196.9010000000001</c:v>
                      </c:pt>
                      <c:pt idx="4">
                        <c:v>1228.4079999999999</c:v>
                      </c:pt>
                      <c:pt idx="5">
                        <c:v>1380.682</c:v>
                      </c:pt>
                      <c:pt idx="6">
                        <c:v>1515.021</c:v>
                      </c:pt>
                      <c:pt idx="7">
                        <c:v>2204.0390000000002</c:v>
                      </c:pt>
                      <c:pt idx="8">
                        <c:v>1092.951</c:v>
                      </c:pt>
                      <c:pt idx="9">
                        <c:v>1017.932</c:v>
                      </c:pt>
                      <c:pt idx="10">
                        <c:v>956.29399999999998</c:v>
                      </c:pt>
                      <c:pt idx="11">
                        <c:v>820.83399999999995</c:v>
                      </c:pt>
                      <c:pt idx="12">
                        <c:v>507.65699999999998</c:v>
                      </c:pt>
                      <c:pt idx="13">
                        <c:v>728.75400000000002</c:v>
                      </c:pt>
                      <c:pt idx="14">
                        <c:v>1047.9079999999999</c:v>
                      </c:pt>
                      <c:pt idx="15">
                        <c:v>1532.8219999999999</c:v>
                      </c:pt>
                      <c:pt idx="16">
                        <c:v>1467.0630000000001</c:v>
                      </c:pt>
                      <c:pt idx="17">
                        <c:v>2303.5450000000001</c:v>
                      </c:pt>
                      <c:pt idx="18">
                        <c:v>1612.6079999999999</c:v>
                      </c:pt>
                      <c:pt idx="19">
                        <c:v>2935.0540000000001</c:v>
                      </c:pt>
                      <c:pt idx="20">
                        <c:v>2265.7539999999999</c:v>
                      </c:pt>
                      <c:pt idx="21">
                        <c:v>2209.4899999999998</c:v>
                      </c:pt>
                      <c:pt idx="22">
                        <c:v>19122.162</c:v>
                      </c:pt>
                      <c:pt idx="23">
                        <c:v>11780.574000000001</c:v>
                      </c:pt>
                      <c:pt idx="24">
                        <c:v>15830.123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03'!$E$36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03'!$B$37:$B$61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03'!$E$37:$E$61</c:f>
              <c:numCache>
                <c:formatCode>0.0000000%</c:formatCode>
                <c:ptCount val="25"/>
                <c:pt idx="0">
                  <c:v>2.5991982293962695E-8</c:v>
                </c:pt>
                <c:pt idx="1">
                  <c:v>2.2103917463382464E-8</c:v>
                </c:pt>
                <c:pt idx="2">
                  <c:v>1.7083778126268146E-8</c:v>
                </c:pt>
                <c:pt idx="3">
                  <c:v>1.4487901117766842E-8</c:v>
                </c:pt>
                <c:pt idx="4">
                  <c:v>1.2601863717743069E-8</c:v>
                </c:pt>
                <c:pt idx="5">
                  <c:v>1.0048286550855021E-8</c:v>
                </c:pt>
                <c:pt idx="6">
                  <c:v>8.9965387855601079E-9</c:v>
                </c:pt>
                <c:pt idx="7">
                  <c:v>1.1936678880424324E-8</c:v>
                </c:pt>
                <c:pt idx="8">
                  <c:v>5.9888631740403321E-9</c:v>
                </c:pt>
                <c:pt idx="9">
                  <c:v>5.8556357068074873E-9</c:v>
                </c:pt>
                <c:pt idx="10">
                  <c:v>5.639438694529274E-9</c:v>
                </c:pt>
                <c:pt idx="11">
                  <c:v>4.2511782961891997E-9</c:v>
                </c:pt>
                <c:pt idx="12">
                  <c:v>2.4910895644390077E-9</c:v>
                </c:pt>
                <c:pt idx="13">
                  <c:v>3.306273532825638E-9</c:v>
                </c:pt>
                <c:pt idx="14">
                  <c:v>4.1090613973941001E-9</c:v>
                </c:pt>
                <c:pt idx="15">
                  <c:v>5.2923534462435393E-9</c:v>
                </c:pt>
                <c:pt idx="16">
                  <c:v>4.6445660246254648E-9</c:v>
                </c:pt>
                <c:pt idx="17">
                  <c:v>6.4526058704596946E-9</c:v>
                </c:pt>
                <c:pt idx="18">
                  <c:v>3.8955295939687858E-9</c:v>
                </c:pt>
                <c:pt idx="19">
                  <c:v>6.1566492938379768E-9</c:v>
                </c:pt>
                <c:pt idx="20">
                  <c:v>5.0360688135051711E-9</c:v>
                </c:pt>
                <c:pt idx="21">
                  <c:v>4.4662496248040234E-9</c:v>
                </c:pt>
                <c:pt idx="22">
                  <c:v>3.2662535732993057E-8</c:v>
                </c:pt>
                <c:pt idx="23">
                  <c:v>1.9397975776599558E-8</c:v>
                </c:pt>
                <c:pt idx="24">
                  <c:v>2.45302265673461E-8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55136"/>
        <c:axId val="443354744"/>
      </c:lineChart>
      <c:catAx>
        <c:axId val="443353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4352"/>
        <c:crosses val="autoZero"/>
        <c:auto val="1"/>
        <c:lblAlgn val="ctr"/>
        <c:lblOffset val="100"/>
        <c:noMultiLvlLbl val="0"/>
      </c:catAx>
      <c:valAx>
        <c:axId val="44335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3960"/>
        <c:crosses val="autoZero"/>
        <c:crossBetween val="between"/>
      </c:valAx>
      <c:valAx>
        <c:axId val="443354744"/>
        <c:scaling>
          <c:orientation val="minMax"/>
          <c:max val="3.5000000000000016E-8"/>
          <c:min val="0"/>
        </c:scaling>
        <c:delete val="0"/>
        <c:axPos val="r"/>
        <c:numFmt formatCode="0.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5136"/>
        <c:crosses val="max"/>
        <c:crossBetween val="between"/>
        <c:majorUnit val="7.0000000000000031E-9"/>
      </c:valAx>
      <c:catAx>
        <c:axId val="44335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354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03'!$D$67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03'!$B$68:$B$92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03'!$D$68:$D$92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355920"/>
        <c:axId val="443356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03'!$C$67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03'!$B$68:$B$92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03'!$C$68:$C$92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64.243949000000001</c:v>
                      </c:pt>
                      <c:pt idx="1">
                        <c:v>49.051187999999996</c:v>
                      </c:pt>
                      <c:pt idx="2">
                        <c:v>64.789846000000011</c:v>
                      </c:pt>
                      <c:pt idx="3">
                        <c:v>85.461164999999994</c:v>
                      </c:pt>
                      <c:pt idx="4">
                        <c:v>87.823816000000008</c:v>
                      </c:pt>
                      <c:pt idx="5">
                        <c:v>75.241305999999994</c:v>
                      </c:pt>
                      <c:pt idx="6">
                        <c:v>67.786597</c:v>
                      </c:pt>
                      <c:pt idx="7">
                        <c:v>42.461099000000004</c:v>
                      </c:pt>
                      <c:pt idx="8">
                        <c:v>51.282055</c:v>
                      </c:pt>
                      <c:pt idx="9">
                        <c:v>47.942578000000005</c:v>
                      </c:pt>
                      <c:pt idx="10">
                        <c:v>46.662134000000009</c:v>
                      </c:pt>
                      <c:pt idx="11">
                        <c:v>41.517641000000005</c:v>
                      </c:pt>
                      <c:pt idx="12">
                        <c:v>33.493023999999998</c:v>
                      </c:pt>
                      <c:pt idx="13">
                        <c:v>32.072651</c:v>
                      </c:pt>
                      <c:pt idx="14">
                        <c:v>32.522680999999999</c:v>
                      </c:pt>
                      <c:pt idx="15">
                        <c:v>29.279149999999998</c:v>
                      </c:pt>
                      <c:pt idx="16">
                        <c:v>20.176260000000003</c:v>
                      </c:pt>
                      <c:pt idx="17">
                        <c:v>28.667615000000005</c:v>
                      </c:pt>
                      <c:pt idx="18">
                        <c:v>32.936782999999998</c:v>
                      </c:pt>
                      <c:pt idx="19">
                        <c:v>52.657853000000003</c:v>
                      </c:pt>
                      <c:pt idx="20">
                        <c:v>54.404145</c:v>
                      </c:pt>
                      <c:pt idx="21">
                        <c:v>73.206535000000002</c:v>
                      </c:pt>
                      <c:pt idx="22">
                        <c:v>81.903179000000009</c:v>
                      </c:pt>
                      <c:pt idx="23">
                        <c:v>90.997570999999994</c:v>
                      </c:pt>
                      <c:pt idx="24">
                        <c:v>84.490143000000018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03'!$E$67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03'!$B$68:$B$92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03'!$E$68:$E$92</c:f>
              <c:numCache>
                <c:formatCode>0.0000000%</c:formatCode>
                <c:ptCount val="25"/>
                <c:pt idx="0">
                  <c:v>1.0399957554463677E-7</c:v>
                </c:pt>
                <c:pt idx="1">
                  <c:v>6.6738525741534832E-8</c:v>
                </c:pt>
                <c:pt idx="2">
                  <c:v>5.9809199062546974E-8</c:v>
                </c:pt>
                <c:pt idx="3">
                  <c:v>5.1723279867305502E-8</c:v>
                </c:pt>
                <c:pt idx="4">
                  <c:v>4.5047889642697844E-8</c:v>
                </c:pt>
                <c:pt idx="5">
                  <c:v>2.7379447372695781E-8</c:v>
                </c:pt>
                <c:pt idx="6">
                  <c:v>2.0126610424925874E-8</c:v>
                </c:pt>
                <c:pt idx="7">
                  <c:v>1.1498083828664247E-8</c:v>
                </c:pt>
                <c:pt idx="8">
                  <c:v>1.4050090565753215E-8</c:v>
                </c:pt>
                <c:pt idx="9">
                  <c:v>1.3789441318929119E-8</c:v>
                </c:pt>
                <c:pt idx="10">
                  <c:v>1.375875222729151E-8</c:v>
                </c:pt>
                <c:pt idx="11">
                  <c:v>1.0751192953031606E-8</c:v>
                </c:pt>
                <c:pt idx="12">
                  <c:v>8.2175684140970412E-9</c:v>
                </c:pt>
                <c:pt idx="13">
                  <c:v>7.2754974332115997E-9</c:v>
                </c:pt>
                <c:pt idx="14">
                  <c:v>6.3764038940852906E-9</c:v>
                </c:pt>
                <c:pt idx="15">
                  <c:v>5.0545859338390737E-9</c:v>
                </c:pt>
                <c:pt idx="16">
                  <c:v>3.1937950756037669E-9</c:v>
                </c:pt>
                <c:pt idx="17">
                  <c:v>4.0151336492466712E-9</c:v>
                </c:pt>
                <c:pt idx="18">
                  <c:v>3.9782207736358747E-9</c:v>
                </c:pt>
                <c:pt idx="19">
                  <c:v>5.5228274077320894E-9</c:v>
                </c:pt>
                <c:pt idx="20">
                  <c:v>6.0461775188284633E-9</c:v>
                </c:pt>
                <c:pt idx="21">
                  <c:v>7.3989621921111348E-9</c:v>
                </c:pt>
                <c:pt idx="22">
                  <c:v>6.9949347535420592E-9</c:v>
                </c:pt>
                <c:pt idx="23">
                  <c:v>7.4918619329898463E-9</c:v>
                </c:pt>
                <c:pt idx="24">
                  <c:v>6.5462610445208541E-9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57096"/>
        <c:axId val="443356704"/>
      </c:lineChart>
      <c:catAx>
        <c:axId val="44335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6312"/>
        <c:crosses val="autoZero"/>
        <c:auto val="1"/>
        <c:lblAlgn val="ctr"/>
        <c:lblOffset val="100"/>
        <c:noMultiLvlLbl val="0"/>
      </c:catAx>
      <c:valAx>
        <c:axId val="44335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5920"/>
        <c:crosses val="autoZero"/>
        <c:crossBetween val="between"/>
      </c:valAx>
      <c:valAx>
        <c:axId val="443356704"/>
        <c:scaling>
          <c:orientation val="minMax"/>
          <c:max val="1.2000000000000004E-7"/>
        </c:scaling>
        <c:delete val="0"/>
        <c:axPos val="r"/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357096"/>
        <c:crosses val="max"/>
        <c:crossBetween val="between"/>
        <c:majorUnit val="2.000000000000001E-8"/>
      </c:valAx>
      <c:catAx>
        <c:axId val="443357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356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04'!$B$1</c:f>
              <c:strCache>
                <c:ptCount val="1"/>
                <c:pt idx="0">
                  <c:v>Exportaciones  de Colombia a USA (US$ millones)</c:v>
                </c:pt>
              </c:strCache>
            </c:strRef>
          </c:tx>
          <c:invertIfNegative val="0"/>
          <c:cat>
            <c:numRef>
              <c:f>'Export 04'!$A$2:$A$26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04'!$B$2:$B$26</c:f>
              <c:numCache>
                <c:formatCode>0.0</c:formatCode>
                <c:ptCount val="25"/>
                <c:pt idx="0">
                  <c:v>5.6062079999999996</c:v>
                </c:pt>
                <c:pt idx="1">
                  <c:v>6.3740959999999998</c:v>
                </c:pt>
                <c:pt idx="2">
                  <c:v>4.4266730000000001</c:v>
                </c:pt>
                <c:pt idx="3">
                  <c:v>6.7137019999999996</c:v>
                </c:pt>
                <c:pt idx="4">
                  <c:v>5.6899280000000001</c:v>
                </c:pt>
                <c:pt idx="5">
                  <c:v>3.9406219999999998</c:v>
                </c:pt>
                <c:pt idx="6">
                  <c:v>3.3122159999999998</c:v>
                </c:pt>
                <c:pt idx="7">
                  <c:v>3.9153449999999999</c:v>
                </c:pt>
                <c:pt idx="8">
                  <c:v>5.3999639999999998</c:v>
                </c:pt>
                <c:pt idx="9">
                  <c:v>5.3925090000000004</c:v>
                </c:pt>
                <c:pt idx="10">
                  <c:v>10.118449999999999</c:v>
                </c:pt>
                <c:pt idx="11">
                  <c:v>13.404857</c:v>
                </c:pt>
                <c:pt idx="12">
                  <c:v>12.726922999999999</c:v>
                </c:pt>
                <c:pt idx="13">
                  <c:v>14.544615</c:v>
                </c:pt>
                <c:pt idx="14">
                  <c:v>18.657104</c:v>
                </c:pt>
                <c:pt idx="15">
                  <c:v>22.610883000000001</c:v>
                </c:pt>
                <c:pt idx="16">
                  <c:v>20.268450000000001</c:v>
                </c:pt>
                <c:pt idx="17">
                  <c:v>22.317267999999999</c:v>
                </c:pt>
                <c:pt idx="18">
                  <c:v>26.024861000000001</c:v>
                </c:pt>
                <c:pt idx="19">
                  <c:v>24.027443999999999</c:v>
                </c:pt>
                <c:pt idx="20">
                  <c:v>21.289726999999999</c:v>
                </c:pt>
                <c:pt idx="21">
                  <c:v>22.689461000000001</c:v>
                </c:pt>
                <c:pt idx="22">
                  <c:v>24.470265000000001</c:v>
                </c:pt>
                <c:pt idx="23">
                  <c:v>31.726458000000001</c:v>
                </c:pt>
                <c:pt idx="24">
                  <c:v>30.804566999999999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603384"/>
        <c:axId val="519603776"/>
      </c:barChart>
      <c:catAx>
        <c:axId val="519603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9603776"/>
        <c:crosses val="autoZero"/>
        <c:auto val="1"/>
        <c:lblAlgn val="ctr"/>
        <c:lblOffset val="100"/>
        <c:noMultiLvlLbl val="0"/>
      </c:catAx>
      <c:valAx>
        <c:axId val="519603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 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19603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04'!$A$2:$A$26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04'!$B$2:$B$26</c:f>
              <c:numCache>
                <c:formatCode>0.0</c:formatCode>
                <c:ptCount val="25"/>
                <c:pt idx="0">
                  <c:v>57.035060000000001</c:v>
                </c:pt>
                <c:pt idx="1">
                  <c:v>103.679424</c:v>
                </c:pt>
                <c:pt idx="2">
                  <c:v>102.42796</c:v>
                </c:pt>
                <c:pt idx="3">
                  <c:v>126.299536</c:v>
                </c:pt>
                <c:pt idx="4">
                  <c:v>261.17918400000002</c:v>
                </c:pt>
                <c:pt idx="5">
                  <c:v>384.86940800000002</c:v>
                </c:pt>
                <c:pt idx="6">
                  <c:v>281.78393599999998</c:v>
                </c:pt>
                <c:pt idx="7">
                  <c:v>332.07152000000002</c:v>
                </c:pt>
                <c:pt idx="8">
                  <c:v>286.18310400000001</c:v>
                </c:pt>
                <c:pt idx="9">
                  <c:v>282.12097499999999</c:v>
                </c:pt>
                <c:pt idx="10">
                  <c:v>278.40797600000002</c:v>
                </c:pt>
                <c:pt idx="11">
                  <c:v>338.36403799999999</c:v>
                </c:pt>
                <c:pt idx="12">
                  <c:v>325.82918899999999</c:v>
                </c:pt>
                <c:pt idx="13">
                  <c:v>433.137812</c:v>
                </c:pt>
                <c:pt idx="14">
                  <c:v>436.91641600000003</c:v>
                </c:pt>
                <c:pt idx="15">
                  <c:v>512.90662499999996</c:v>
                </c:pt>
                <c:pt idx="16">
                  <c:v>868.24385199999995</c:v>
                </c:pt>
                <c:pt idx="17">
                  <c:v>1146.2366030000001</c:v>
                </c:pt>
                <c:pt idx="18">
                  <c:v>443.46851299999997</c:v>
                </c:pt>
                <c:pt idx="19">
                  <c:v>324.97551399999998</c:v>
                </c:pt>
                <c:pt idx="20">
                  <c:v>439.93325199999998</c:v>
                </c:pt>
                <c:pt idx="21">
                  <c:v>289.56223799999998</c:v>
                </c:pt>
                <c:pt idx="22">
                  <c:v>496.93744700000002</c:v>
                </c:pt>
                <c:pt idx="23">
                  <c:v>1218.455066</c:v>
                </c:pt>
                <c:pt idx="24">
                  <c:v>1295.4892649999999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604560"/>
        <c:axId val="519604952"/>
      </c:lineChart>
      <c:catAx>
        <c:axId val="51960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9604952"/>
        <c:crosses val="autoZero"/>
        <c:auto val="1"/>
        <c:lblAlgn val="ctr"/>
        <c:lblOffset val="100"/>
        <c:noMultiLvlLbl val="0"/>
      </c:catAx>
      <c:valAx>
        <c:axId val="519604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19604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04'!$A$2:$A$26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04'!$B$2:$B$26</c:f>
              <c:numCache>
                <c:formatCode>[$$-409]#,##0.0</c:formatCode>
                <c:ptCount val="25"/>
                <c:pt idx="0">
                  <c:v>-51.428851999999999</c:v>
                </c:pt>
                <c:pt idx="1">
                  <c:v>-97.305328000000003</c:v>
                </c:pt>
                <c:pt idx="2">
                  <c:v>-98.001287000000005</c:v>
                </c:pt>
                <c:pt idx="3">
                  <c:v>-119.58583400000001</c:v>
                </c:pt>
                <c:pt idx="4">
                  <c:v>-255.48925600000001</c:v>
                </c:pt>
                <c:pt idx="5">
                  <c:v>-380.928786</c:v>
                </c:pt>
                <c:pt idx="6">
                  <c:v>-278.47172</c:v>
                </c:pt>
                <c:pt idx="7">
                  <c:v>-328.15617500000002</c:v>
                </c:pt>
                <c:pt idx="8">
                  <c:v>-280.78314</c:v>
                </c:pt>
                <c:pt idx="9">
                  <c:v>-276.72846599999997</c:v>
                </c:pt>
                <c:pt idx="10">
                  <c:v>-268.28952600000002</c:v>
                </c:pt>
                <c:pt idx="11">
                  <c:v>-324.959181</c:v>
                </c:pt>
                <c:pt idx="12">
                  <c:v>-313.10226599999999</c:v>
                </c:pt>
                <c:pt idx="13">
                  <c:v>-418.59319699999998</c:v>
                </c:pt>
                <c:pt idx="14">
                  <c:v>-418.25931200000002</c:v>
                </c:pt>
                <c:pt idx="15">
                  <c:v>-490.29574199999996</c:v>
                </c:pt>
                <c:pt idx="16">
                  <c:v>-847.97540199999992</c:v>
                </c:pt>
                <c:pt idx="17">
                  <c:v>-1123.919335</c:v>
                </c:pt>
                <c:pt idx="18">
                  <c:v>-417.44365199999999</c:v>
                </c:pt>
                <c:pt idx="19">
                  <c:v>-300.94806999999997</c:v>
                </c:pt>
                <c:pt idx="20">
                  <c:v>-418.64352499999995</c:v>
                </c:pt>
                <c:pt idx="21">
                  <c:v>-266.87277699999999</c:v>
                </c:pt>
                <c:pt idx="22">
                  <c:v>-472.46718200000004</c:v>
                </c:pt>
                <c:pt idx="23">
                  <c:v>-1186.7286079999999</c:v>
                </c:pt>
                <c:pt idx="24">
                  <c:v>-1264.684698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605736"/>
        <c:axId val="519606128"/>
      </c:lineChart>
      <c:catAx>
        <c:axId val="519605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9606128"/>
        <c:crosses val="autoZero"/>
        <c:auto val="1"/>
        <c:lblAlgn val="ctr"/>
        <c:lblOffset val="100"/>
        <c:noMultiLvlLbl val="0"/>
      </c:catAx>
      <c:valAx>
        <c:axId val="51960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[$$-409]#,##0.0" sourceLinked="1"/>
        <c:majorTickMark val="out"/>
        <c:minorTickMark val="none"/>
        <c:tickLblPos val="nextTo"/>
        <c:crossAx val="519605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04'!$C$6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04'!$A$7:$A$31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606912"/>
        <c:axId val="5196073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04'!$B$6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04'!$A$7:$A$31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04'!$B$7:$B$31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5.6062079999999996</c:v>
                      </c:pt>
                      <c:pt idx="1">
                        <c:v>6.3740959999999998</c:v>
                      </c:pt>
                      <c:pt idx="2">
                        <c:v>4.4266730000000001</c:v>
                      </c:pt>
                      <c:pt idx="3">
                        <c:v>6.7137019999999996</c:v>
                      </c:pt>
                      <c:pt idx="4">
                        <c:v>5.6899280000000001</c:v>
                      </c:pt>
                      <c:pt idx="5">
                        <c:v>3.9406219999999998</c:v>
                      </c:pt>
                      <c:pt idx="6">
                        <c:v>3.3122159999999998</c:v>
                      </c:pt>
                      <c:pt idx="7">
                        <c:v>3.9153449999999999</c:v>
                      </c:pt>
                      <c:pt idx="8">
                        <c:v>5.3999639999999998</c:v>
                      </c:pt>
                      <c:pt idx="9">
                        <c:v>5.3925090000000004</c:v>
                      </c:pt>
                      <c:pt idx="10">
                        <c:v>10.118449999999999</c:v>
                      </c:pt>
                      <c:pt idx="11">
                        <c:v>13.404857</c:v>
                      </c:pt>
                      <c:pt idx="12">
                        <c:v>12.726922999999999</c:v>
                      </c:pt>
                      <c:pt idx="13">
                        <c:v>14.544615</c:v>
                      </c:pt>
                      <c:pt idx="14">
                        <c:v>18.657104</c:v>
                      </c:pt>
                      <c:pt idx="15">
                        <c:v>22.610883000000001</c:v>
                      </c:pt>
                      <c:pt idx="16">
                        <c:v>20.268450000000001</c:v>
                      </c:pt>
                      <c:pt idx="17">
                        <c:v>22.317267999999999</c:v>
                      </c:pt>
                      <c:pt idx="18">
                        <c:v>26.024861000000001</c:v>
                      </c:pt>
                      <c:pt idx="19">
                        <c:v>24.027443999999999</c:v>
                      </c:pt>
                      <c:pt idx="20">
                        <c:v>21.289726999999999</c:v>
                      </c:pt>
                      <c:pt idx="21">
                        <c:v>22.689461000000001</c:v>
                      </c:pt>
                      <c:pt idx="22">
                        <c:v>24.470265000000001</c:v>
                      </c:pt>
                      <c:pt idx="23">
                        <c:v>31.726458000000001</c:v>
                      </c:pt>
                      <c:pt idx="24">
                        <c:v>30.804566999999999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04'!$D$6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04'!$A$7:$A$31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04'!$D$7:$D$31</c:f>
              <c:numCache>
                <c:formatCode>0.00000%</c:formatCode>
                <c:ptCount val="25"/>
                <c:pt idx="0">
                  <c:v>1.3594250695357935E-6</c:v>
                </c:pt>
                <c:pt idx="1">
                  <c:v>1.2934556884093191E-6</c:v>
                </c:pt>
                <c:pt idx="2">
                  <c:v>7.9327446241507134E-7</c:v>
                </c:pt>
                <c:pt idx="3">
                  <c:v>8.2171538294627387E-7</c:v>
                </c:pt>
                <c:pt idx="4">
                  <c:v>6.150789576158955E-7</c:v>
                </c:pt>
                <c:pt idx="5">
                  <c:v>4.055802258960558E-7</c:v>
                </c:pt>
                <c:pt idx="6">
                  <c:v>3.1054109129517104E-7</c:v>
                </c:pt>
                <c:pt idx="7">
                  <c:v>3.9772410852048472E-7</c:v>
                </c:pt>
                <c:pt idx="8">
                  <c:v>6.2654656084044025E-7</c:v>
                </c:pt>
                <c:pt idx="9">
                  <c:v>5.3986322595962768E-7</c:v>
                </c:pt>
                <c:pt idx="10">
                  <c:v>1.0303548617902387E-6</c:v>
                </c:pt>
                <c:pt idx="11">
                  <c:v>1.3687728646439078E-6</c:v>
                </c:pt>
                <c:pt idx="12">
                  <c:v>1.3441388929549556E-6</c:v>
                </c:pt>
                <c:pt idx="13">
                  <c:v>1.2423345468717868E-6</c:v>
                </c:pt>
                <c:pt idx="14">
                  <c:v>1.2729466656717635E-6</c:v>
                </c:pt>
                <c:pt idx="15">
                  <c:v>1.3906674877204413E-6</c:v>
                </c:pt>
                <c:pt idx="16">
                  <c:v>9.771860253904218E-7</c:v>
                </c:pt>
                <c:pt idx="17">
                  <c:v>9.1470796811262119E-7</c:v>
                </c:pt>
                <c:pt idx="18">
                  <c:v>1.1130217716528564E-6</c:v>
                </c:pt>
                <c:pt idx="19">
                  <c:v>8.3714012860696897E-7</c:v>
                </c:pt>
                <c:pt idx="20">
                  <c:v>6.3472763751409915E-7</c:v>
                </c:pt>
                <c:pt idx="21">
                  <c:v>6.1379319890566515E-7</c:v>
                </c:pt>
                <c:pt idx="22">
                  <c:v>6.4362934001275863E-7</c:v>
                </c:pt>
                <c:pt idx="23">
                  <c:v>8.384015548615852E-7</c:v>
                </c:pt>
                <c:pt idx="24">
                  <c:v>1.0546614142000591E-6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08088"/>
        <c:axId val="519607696"/>
      </c:lineChart>
      <c:catAx>
        <c:axId val="519606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07304"/>
        <c:crosses val="autoZero"/>
        <c:auto val="1"/>
        <c:lblAlgn val="ctr"/>
        <c:lblOffset val="100"/>
        <c:noMultiLvlLbl val="0"/>
      </c:catAx>
      <c:valAx>
        <c:axId val="51960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Millones de 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06912"/>
        <c:crosses val="autoZero"/>
        <c:crossBetween val="between"/>
      </c:valAx>
      <c:valAx>
        <c:axId val="5196076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08088"/>
        <c:crosses val="max"/>
        <c:crossBetween val="between"/>
      </c:valAx>
      <c:catAx>
        <c:axId val="519608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607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04'!$C$65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04'!$A$66:$A$90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608872"/>
        <c:axId val="519609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04'!$B$65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millones)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04'!$A$66:$A$90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04'!$B$66:$B$90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57.035060000000001</c:v>
                      </c:pt>
                      <c:pt idx="1">
                        <c:v>103.679424</c:v>
                      </c:pt>
                      <c:pt idx="2">
                        <c:v>102.42796</c:v>
                      </c:pt>
                      <c:pt idx="3">
                        <c:v>126.299536</c:v>
                      </c:pt>
                      <c:pt idx="4">
                        <c:v>261.17918400000002</c:v>
                      </c:pt>
                      <c:pt idx="5">
                        <c:v>384.86940800000002</c:v>
                      </c:pt>
                      <c:pt idx="6">
                        <c:v>281.78393599999998</c:v>
                      </c:pt>
                      <c:pt idx="7">
                        <c:v>332.07152000000002</c:v>
                      </c:pt>
                      <c:pt idx="8">
                        <c:v>286.18310400000001</c:v>
                      </c:pt>
                      <c:pt idx="9">
                        <c:v>282.12097499999999</c:v>
                      </c:pt>
                      <c:pt idx="10">
                        <c:v>278.40797600000002</c:v>
                      </c:pt>
                      <c:pt idx="11">
                        <c:v>338.36403799999999</c:v>
                      </c:pt>
                      <c:pt idx="12">
                        <c:v>325.82918899999999</c:v>
                      </c:pt>
                      <c:pt idx="13">
                        <c:v>433.137812</c:v>
                      </c:pt>
                      <c:pt idx="14">
                        <c:v>436.91641600000003</c:v>
                      </c:pt>
                      <c:pt idx="15">
                        <c:v>512.90662499999996</c:v>
                      </c:pt>
                      <c:pt idx="16">
                        <c:v>868.24385199999995</c:v>
                      </c:pt>
                      <c:pt idx="17">
                        <c:v>1146.2366030000001</c:v>
                      </c:pt>
                      <c:pt idx="18">
                        <c:v>443.46851299999997</c:v>
                      </c:pt>
                      <c:pt idx="19">
                        <c:v>324.97551399999998</c:v>
                      </c:pt>
                      <c:pt idx="20">
                        <c:v>439.93325199999998</c:v>
                      </c:pt>
                      <c:pt idx="21">
                        <c:v>289.56223799999998</c:v>
                      </c:pt>
                      <c:pt idx="22">
                        <c:v>496.93744700000002</c:v>
                      </c:pt>
                      <c:pt idx="23">
                        <c:v>1218.455066</c:v>
                      </c:pt>
                      <c:pt idx="24">
                        <c:v>1295.4892649999999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04'!$D$65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04'!$A$66:$A$90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04'!$D$66:$D$90</c:f>
              <c:numCache>
                <c:formatCode>0.00000%</c:formatCode>
                <c:ptCount val="25"/>
                <c:pt idx="0">
                  <c:v>9.2378786477515635E-7</c:v>
                </c:pt>
                <c:pt idx="1">
                  <c:v>1.5854822359399685E-6</c:v>
                </c:pt>
                <c:pt idx="2">
                  <c:v>1.4890559549032249E-6</c:v>
                </c:pt>
                <c:pt idx="3">
                  <c:v>1.728058143965696E-6</c:v>
                </c:pt>
                <c:pt idx="4">
                  <c:v>3.4078436755453375E-6</c:v>
                </c:pt>
                <c:pt idx="5">
                  <c:v>4.751356268813577E-6</c:v>
                </c:pt>
                <c:pt idx="6">
                  <c:v>3.2733164314634986E-6</c:v>
                </c:pt>
                <c:pt idx="7">
                  <c:v>3.6534864357221696E-6</c:v>
                </c:pt>
                <c:pt idx="8">
                  <c:v>2.9623666545763506E-6</c:v>
                </c:pt>
                <c:pt idx="9">
                  <c:v>2.7430922434016321E-6</c:v>
                </c:pt>
                <c:pt idx="10">
                  <c:v>2.621093853560368E-6</c:v>
                </c:pt>
                <c:pt idx="11">
                  <c:v>3.0823375675038992E-6</c:v>
                </c:pt>
                <c:pt idx="12">
                  <c:v>2.8306709253240686E-6</c:v>
                </c:pt>
                <c:pt idx="13">
                  <c:v>3.5286383105465059E-6</c:v>
                </c:pt>
                <c:pt idx="14">
                  <c:v>3.336837932915352E-6</c:v>
                </c:pt>
                <c:pt idx="15">
                  <c:v>3.7017232313078742E-6</c:v>
                </c:pt>
                <c:pt idx="16">
                  <c:v>5.9971387039388683E-6</c:v>
                </c:pt>
                <c:pt idx="17">
                  <c:v>7.7876836437097002E-6</c:v>
                </c:pt>
                <c:pt idx="18">
                  <c:v>3.0756400611731718E-6</c:v>
                </c:pt>
                <c:pt idx="19">
                  <c:v>2.1716615571973215E-6</c:v>
                </c:pt>
                <c:pt idx="20">
                  <c:v>2.8350003215635905E-6</c:v>
                </c:pt>
                <c:pt idx="21">
                  <c:v>1.7923718195720216E-6</c:v>
                </c:pt>
                <c:pt idx="22">
                  <c:v>2.9822521478519084E-6</c:v>
                </c:pt>
                <c:pt idx="23">
                  <c:v>7.0235764592047027E-6</c:v>
                </c:pt>
                <c:pt idx="24">
                  <c:v>7.2184184194391089E-6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10048"/>
        <c:axId val="519609656"/>
      </c:lineChart>
      <c:catAx>
        <c:axId val="519608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09264"/>
        <c:crosses val="autoZero"/>
        <c:auto val="1"/>
        <c:lblAlgn val="ctr"/>
        <c:lblOffset val="100"/>
        <c:noMultiLvlLbl val="0"/>
      </c:catAx>
      <c:valAx>
        <c:axId val="5196092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08872"/>
        <c:crosses val="autoZero"/>
        <c:crossBetween val="between"/>
      </c:valAx>
      <c:valAx>
        <c:axId val="519609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0048"/>
        <c:crosses val="max"/>
        <c:crossBetween val="between"/>
      </c:valAx>
      <c:catAx>
        <c:axId val="519610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609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00'!$C$95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00'!$A$96:$A$120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0292688"/>
        <c:axId val="500293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00'!$B$95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a Colombia (US$ miles)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00'!$A$96:$A$120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00'!$B$96:$B$120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734.10299999999995</c:v>
                      </c:pt>
                      <c:pt idx="1">
                        <c:v>1414.192</c:v>
                      </c:pt>
                      <c:pt idx="2">
                        <c:v>2008.502</c:v>
                      </c:pt>
                      <c:pt idx="3">
                        <c:v>2032.5329999999999</c:v>
                      </c:pt>
                      <c:pt idx="4">
                        <c:v>2091.5880000000002</c:v>
                      </c:pt>
                      <c:pt idx="5">
                        <c:v>1953.7819999999999</c:v>
                      </c:pt>
                      <c:pt idx="6">
                        <c:v>1089.6410000000001</c:v>
                      </c:pt>
                      <c:pt idx="7">
                        <c:v>943.56700000000001</c:v>
                      </c:pt>
                      <c:pt idx="8">
                        <c:v>1843.0740000000001</c:v>
                      </c:pt>
                      <c:pt idx="9">
                        <c:v>1791.836</c:v>
                      </c:pt>
                      <c:pt idx="10">
                        <c:v>1957.27</c:v>
                      </c:pt>
                      <c:pt idx="11">
                        <c:v>1236.923</c:v>
                      </c:pt>
                      <c:pt idx="12">
                        <c:v>1441.682</c:v>
                      </c:pt>
                      <c:pt idx="13">
                        <c:v>2121.6509999999998</c:v>
                      </c:pt>
                      <c:pt idx="14">
                        <c:v>3450.0210000000002</c:v>
                      </c:pt>
                      <c:pt idx="15">
                        <c:v>1953.683</c:v>
                      </c:pt>
                      <c:pt idx="16">
                        <c:v>2639.74</c:v>
                      </c:pt>
                      <c:pt idx="17">
                        <c:v>1717.326</c:v>
                      </c:pt>
                      <c:pt idx="18">
                        <c:v>1575.6310000000001</c:v>
                      </c:pt>
                      <c:pt idx="19">
                        <c:v>1504.893</c:v>
                      </c:pt>
                      <c:pt idx="20">
                        <c:v>972.726</c:v>
                      </c:pt>
                      <c:pt idx="21">
                        <c:v>1055.278</c:v>
                      </c:pt>
                      <c:pt idx="22">
                        <c:v>1403.4190000000001</c:v>
                      </c:pt>
                      <c:pt idx="23">
                        <c:v>1707.6569999999999</c:v>
                      </c:pt>
                      <c:pt idx="24">
                        <c:v>2333.547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00'!$D$95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00'!$A$96:$A$120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00'!$D$96:$D$120</c:f>
              <c:numCache>
                <c:formatCode>0.000000000%</c:formatCode>
                <c:ptCount val="25"/>
                <c:pt idx="0">
                  <c:v>1.1890150424932254E-10</c:v>
                </c:pt>
                <c:pt idx="1">
                  <c:v>2.1626048908300416E-10</c:v>
                </c:pt>
                <c:pt idx="2">
                  <c:v>2.9198783843152172E-10</c:v>
                </c:pt>
                <c:pt idx="3">
                  <c:v>2.7809565377413796E-10</c:v>
                </c:pt>
                <c:pt idx="4">
                  <c:v>2.7290861501606201E-10</c:v>
                </c:pt>
                <c:pt idx="5">
                  <c:v>2.4120166894623973E-10</c:v>
                </c:pt>
                <c:pt idx="6">
                  <c:v>1.2657711579755626E-10</c:v>
                </c:pt>
                <c:pt idx="7">
                  <c:v>1.0381225212252651E-10</c:v>
                </c:pt>
                <c:pt idx="8">
                  <c:v>1.907820861261136E-10</c:v>
                </c:pt>
                <c:pt idx="9">
                  <c:v>1.7422211989192963E-10</c:v>
                </c:pt>
                <c:pt idx="10">
                  <c:v>1.8426872823349361E-10</c:v>
                </c:pt>
                <c:pt idx="11">
                  <c:v>1.1267787952718622E-10</c:v>
                </c:pt>
                <c:pt idx="12">
                  <c:v>1.2524744432774111E-10</c:v>
                </c:pt>
                <c:pt idx="13">
                  <c:v>1.7284427248778976E-10</c:v>
                </c:pt>
                <c:pt idx="14">
                  <c:v>2.6348657364603472E-10</c:v>
                </c:pt>
                <c:pt idx="15">
                  <c:v>1.410002015027835E-10</c:v>
                </c:pt>
                <c:pt idx="16">
                  <c:v>1.8233226628520472E-10</c:v>
                </c:pt>
                <c:pt idx="17">
                  <c:v>1.1667740819054445E-10</c:v>
                </c:pt>
                <c:pt idx="18">
                  <c:v>1.0927661565966346E-10</c:v>
                </c:pt>
                <c:pt idx="19">
                  <c:v>1.0056506213558444E-10</c:v>
                </c:pt>
                <c:pt idx="20">
                  <c:v>6.2684021047658048E-11</c:v>
                </c:pt>
                <c:pt idx="21">
                  <c:v>6.5321036405801086E-11</c:v>
                </c:pt>
                <c:pt idx="22">
                  <c:v>8.422286048984707E-11</c:v>
                </c:pt>
                <c:pt idx="23">
                  <c:v>9.8434975899194335E-11</c:v>
                </c:pt>
                <c:pt idx="24">
                  <c:v>1.3002437845308486E-10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93864"/>
        <c:axId val="500293472"/>
      </c:lineChart>
      <c:catAx>
        <c:axId val="50029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293080"/>
        <c:crosses val="autoZero"/>
        <c:auto val="1"/>
        <c:lblAlgn val="ctr"/>
        <c:lblOffset val="100"/>
        <c:noMultiLvlLbl val="0"/>
      </c:catAx>
      <c:valAx>
        <c:axId val="50029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292688"/>
        <c:crosses val="autoZero"/>
        <c:crossBetween val="between"/>
      </c:valAx>
      <c:valAx>
        <c:axId val="500293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293864"/>
        <c:crosses val="max"/>
        <c:crossBetween val="between"/>
      </c:valAx>
      <c:catAx>
        <c:axId val="500293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93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04'!$C$35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04'!$A$36:$A$60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610832"/>
        <c:axId val="519611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04'!$B$35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04'!$A$36:$A$60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04'!$B$36:$B$60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57.035060000000001</c:v>
                      </c:pt>
                      <c:pt idx="1">
                        <c:v>103.679424</c:v>
                      </c:pt>
                      <c:pt idx="2">
                        <c:v>102.42796</c:v>
                      </c:pt>
                      <c:pt idx="3">
                        <c:v>126.299536</c:v>
                      </c:pt>
                      <c:pt idx="4">
                        <c:v>261.17918400000002</c:v>
                      </c:pt>
                      <c:pt idx="5">
                        <c:v>384.86940800000002</c:v>
                      </c:pt>
                      <c:pt idx="6">
                        <c:v>281.78393599999998</c:v>
                      </c:pt>
                      <c:pt idx="7">
                        <c:v>332.07152000000002</c:v>
                      </c:pt>
                      <c:pt idx="8">
                        <c:v>286.18310400000001</c:v>
                      </c:pt>
                      <c:pt idx="9">
                        <c:v>282.12097499999999</c:v>
                      </c:pt>
                      <c:pt idx="10">
                        <c:v>278.40797600000002</c:v>
                      </c:pt>
                      <c:pt idx="11">
                        <c:v>338.36403799999999</c:v>
                      </c:pt>
                      <c:pt idx="12">
                        <c:v>325.82918899999999</c:v>
                      </c:pt>
                      <c:pt idx="13">
                        <c:v>433.137812</c:v>
                      </c:pt>
                      <c:pt idx="14">
                        <c:v>436.91641600000003</c:v>
                      </c:pt>
                      <c:pt idx="15">
                        <c:v>512.90662499999996</c:v>
                      </c:pt>
                      <c:pt idx="16">
                        <c:v>868.24385199999995</c:v>
                      </c:pt>
                      <c:pt idx="17">
                        <c:v>1146.2366030000001</c:v>
                      </c:pt>
                      <c:pt idx="18">
                        <c:v>443.46851299999997</c:v>
                      </c:pt>
                      <c:pt idx="19">
                        <c:v>324.97551399999998</c:v>
                      </c:pt>
                      <c:pt idx="20">
                        <c:v>439.93325199999998</c:v>
                      </c:pt>
                      <c:pt idx="21">
                        <c:v>289.56223799999998</c:v>
                      </c:pt>
                      <c:pt idx="22">
                        <c:v>496.93744700000002</c:v>
                      </c:pt>
                      <c:pt idx="23">
                        <c:v>1218.455066</c:v>
                      </c:pt>
                      <c:pt idx="24">
                        <c:v>1295.4892649999999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04'!$D$35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04'!$A$36:$A$60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04'!$D$36:$D$60</c:f>
              <c:numCache>
                <c:formatCode>0.0000%</c:formatCode>
                <c:ptCount val="25"/>
                <c:pt idx="0">
                  <c:v>1.3830184396739868E-5</c:v>
                </c:pt>
                <c:pt idx="1">
                  <c:v>2.1039021179442809E-5</c:v>
                </c:pt>
                <c:pt idx="2">
                  <c:v>1.8355429665862473E-5</c:v>
                </c:pt>
                <c:pt idx="3">
                  <c:v>1.5458277950105128E-5</c:v>
                </c:pt>
                <c:pt idx="4">
                  <c:v>2.8233366089287979E-5</c:v>
                </c:pt>
                <c:pt idx="5">
                  <c:v>3.9611873820204343E-5</c:v>
                </c:pt>
                <c:pt idx="6">
                  <c:v>2.6419017055315418E-5</c:v>
                </c:pt>
                <c:pt idx="7">
                  <c:v>3.3732110262835668E-5</c:v>
                </c:pt>
                <c:pt idx="8">
                  <c:v>3.320522869816207E-5</c:v>
                </c:pt>
                <c:pt idx="9">
                  <c:v>2.8244132680052169E-5</c:v>
                </c:pt>
                <c:pt idx="10">
                  <c:v>2.8350094296337894E-5</c:v>
                </c:pt>
                <c:pt idx="11">
                  <c:v>3.4550425534993777E-5</c:v>
                </c:pt>
                <c:pt idx="12">
                  <c:v>3.4412063732519711E-5</c:v>
                </c:pt>
                <c:pt idx="13">
                  <c:v>3.6996652534567406E-5</c:v>
                </c:pt>
                <c:pt idx="14">
                  <c:v>2.9810162119718967E-5</c:v>
                </c:pt>
                <c:pt idx="15">
                  <c:v>3.1545984631556428E-5</c:v>
                </c:pt>
                <c:pt idx="16">
                  <c:v>4.1859923122170149E-5</c:v>
                </c:pt>
                <c:pt idx="17">
                  <c:v>4.6980291409613549E-5</c:v>
                </c:pt>
                <c:pt idx="18">
                  <c:v>1.8966099761743887E-5</c:v>
                </c:pt>
                <c:pt idx="19">
                  <c:v>1.1322471236810533E-5</c:v>
                </c:pt>
                <c:pt idx="20">
                  <c:v>1.3116081465293324E-5</c:v>
                </c:pt>
                <c:pt idx="21">
                  <c:v>7.8332108613908254E-6</c:v>
                </c:pt>
                <c:pt idx="22">
                  <c:v>1.307070115669917E-5</c:v>
                </c:pt>
                <c:pt idx="23">
                  <c:v>3.2198823513906772E-5</c:v>
                </c:pt>
                <c:pt idx="24">
                  <c:v>4.4353895326816152E-5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12008"/>
        <c:axId val="519611616"/>
      </c:lineChart>
      <c:catAx>
        <c:axId val="51961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1224"/>
        <c:crosses val="autoZero"/>
        <c:auto val="1"/>
        <c:lblAlgn val="ctr"/>
        <c:lblOffset val="100"/>
        <c:noMultiLvlLbl val="0"/>
      </c:catAx>
      <c:valAx>
        <c:axId val="519611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Millones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0832"/>
        <c:crosses val="autoZero"/>
        <c:crossBetween val="between"/>
      </c:valAx>
      <c:valAx>
        <c:axId val="5196116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2008"/>
        <c:crosses val="max"/>
        <c:crossBetween val="between"/>
      </c:valAx>
      <c:catAx>
        <c:axId val="519612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61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04'!$C$95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04'!$A$96:$A$120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612792"/>
        <c:axId val="519613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04'!$B$95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de Colombia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04'!$A$96:$A$120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04'!$B$96:$B$120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5.6062079999999996</c:v>
                      </c:pt>
                      <c:pt idx="1">
                        <c:v>6.3740959999999998</c:v>
                      </c:pt>
                      <c:pt idx="2">
                        <c:v>4.4266730000000001</c:v>
                      </c:pt>
                      <c:pt idx="3">
                        <c:v>6.7137019999999996</c:v>
                      </c:pt>
                      <c:pt idx="4">
                        <c:v>5.6899280000000001</c:v>
                      </c:pt>
                      <c:pt idx="5">
                        <c:v>3.9406219999999998</c:v>
                      </c:pt>
                      <c:pt idx="6">
                        <c:v>3.3122159999999998</c:v>
                      </c:pt>
                      <c:pt idx="7">
                        <c:v>3.9153449999999999</c:v>
                      </c:pt>
                      <c:pt idx="8">
                        <c:v>5.3999639999999998</c:v>
                      </c:pt>
                      <c:pt idx="9">
                        <c:v>5.3925090000000004</c:v>
                      </c:pt>
                      <c:pt idx="10">
                        <c:v>10.118449999999999</c:v>
                      </c:pt>
                      <c:pt idx="11">
                        <c:v>13.404857</c:v>
                      </c:pt>
                      <c:pt idx="12">
                        <c:v>12.726922999999999</c:v>
                      </c:pt>
                      <c:pt idx="13">
                        <c:v>14.544615</c:v>
                      </c:pt>
                      <c:pt idx="14">
                        <c:v>18.657104</c:v>
                      </c:pt>
                      <c:pt idx="15">
                        <c:v>22.610883000000001</c:v>
                      </c:pt>
                      <c:pt idx="16">
                        <c:v>20.268450000000001</c:v>
                      </c:pt>
                      <c:pt idx="17">
                        <c:v>22.317267999999999</c:v>
                      </c:pt>
                      <c:pt idx="18">
                        <c:v>26.024861000000001</c:v>
                      </c:pt>
                      <c:pt idx="19">
                        <c:v>24.027443999999999</c:v>
                      </c:pt>
                      <c:pt idx="20">
                        <c:v>21.289726999999999</c:v>
                      </c:pt>
                      <c:pt idx="21">
                        <c:v>22.689461000000001</c:v>
                      </c:pt>
                      <c:pt idx="22">
                        <c:v>24.470265000000001</c:v>
                      </c:pt>
                      <c:pt idx="23">
                        <c:v>31.726458000000001</c:v>
                      </c:pt>
                      <c:pt idx="24">
                        <c:v>30.804566999999999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04'!$D$95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04'!$A$96:$A$120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04'!$D$96:$D$120</c:f>
              <c:numCache>
                <c:formatCode>0.000000%</c:formatCode>
                <c:ptCount val="25"/>
                <c:pt idx="0">
                  <c:v>9.0802866128402412E-8</c:v>
                </c:pt>
                <c:pt idx="1">
                  <c:v>9.7473689458151399E-8</c:v>
                </c:pt>
                <c:pt idx="2">
                  <c:v>6.4353168715449603E-8</c:v>
                </c:pt>
                <c:pt idx="3">
                  <c:v>9.1858353440497047E-8</c:v>
                </c:pt>
                <c:pt idx="4">
                  <c:v>7.4241694349992041E-8</c:v>
                </c:pt>
                <c:pt idx="5">
                  <c:v>4.8648447118781376E-8</c:v>
                </c:pt>
                <c:pt idx="6">
                  <c:v>3.8476043777585335E-8</c:v>
                </c:pt>
                <c:pt idx="7">
                  <c:v>4.3077045115680554E-8</c:v>
                </c:pt>
                <c:pt idx="8">
                  <c:v>5.5896637732717885E-8</c:v>
                </c:pt>
                <c:pt idx="9">
                  <c:v>5.2431938498629869E-8</c:v>
                </c:pt>
                <c:pt idx="10">
                  <c:v>9.5260945766000251E-8</c:v>
                </c:pt>
                <c:pt idx="11">
                  <c:v>1.221119554026531E-7</c:v>
                </c:pt>
                <c:pt idx="12">
                  <c:v>1.1056630934602415E-7</c:v>
                </c:pt>
                <c:pt idx="13">
                  <c:v>1.1849043024936684E-7</c:v>
                </c:pt>
                <c:pt idx="14">
                  <c:v>1.4248888360730933E-7</c:v>
                </c:pt>
                <c:pt idx="15">
                  <c:v>1.63186098213265E-7</c:v>
                </c:pt>
                <c:pt idx="16">
                  <c:v>1.3999834917788714E-7</c:v>
                </c:pt>
                <c:pt idx="17">
                  <c:v>1.5162648140969012E-7</c:v>
                </c:pt>
                <c:pt idx="18">
                  <c:v>1.8049332191948272E-7</c:v>
                </c:pt>
                <c:pt idx="19">
                  <c:v>1.6056433240232201E-7</c:v>
                </c:pt>
                <c:pt idx="20">
                  <c:v>1.3719440987152536E-7</c:v>
                </c:pt>
                <c:pt idx="21">
                  <c:v>1.4044631916983051E-7</c:v>
                </c:pt>
                <c:pt idx="22">
                  <c:v>1.4685248776342541E-7</c:v>
                </c:pt>
                <c:pt idx="23">
                  <c:v>1.8288175720281074E-7</c:v>
                </c:pt>
                <c:pt idx="24">
                  <c:v>1.7164191154887424E-7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13968"/>
        <c:axId val="519613576"/>
      </c:lineChart>
      <c:catAx>
        <c:axId val="519612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3184"/>
        <c:crosses val="autoZero"/>
        <c:auto val="1"/>
        <c:lblAlgn val="ctr"/>
        <c:lblOffset val="100"/>
        <c:noMultiLvlLbl val="0"/>
      </c:catAx>
      <c:valAx>
        <c:axId val="5196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2792"/>
        <c:crosses val="autoZero"/>
        <c:crossBetween val="between"/>
      </c:valAx>
      <c:valAx>
        <c:axId val="5196135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3968"/>
        <c:crosses val="max"/>
        <c:crossBetween val="between"/>
      </c:valAx>
      <c:catAx>
        <c:axId val="519613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613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04'!$C$124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04'!$A$125:$A$149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614752"/>
        <c:axId val="5196151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04'!$B$124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04'!$A$125:$A$149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04'!$B$125:$B$149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62.641268000000004</c:v>
                      </c:pt>
                      <c:pt idx="1">
                        <c:v>110.05351999999999</c:v>
                      </c:pt>
                      <c:pt idx="2">
                        <c:v>106.85463299999999</c:v>
                      </c:pt>
                      <c:pt idx="3">
                        <c:v>133.013238</c:v>
                      </c:pt>
                      <c:pt idx="4">
                        <c:v>266.86911200000003</c:v>
                      </c:pt>
                      <c:pt idx="5">
                        <c:v>388.81003000000004</c:v>
                      </c:pt>
                      <c:pt idx="6">
                        <c:v>285.09615199999996</c:v>
                      </c:pt>
                      <c:pt idx="7">
                        <c:v>335.98686500000002</c:v>
                      </c:pt>
                      <c:pt idx="8">
                        <c:v>291.58306800000003</c:v>
                      </c:pt>
                      <c:pt idx="9">
                        <c:v>287.51348400000001</c:v>
                      </c:pt>
                      <c:pt idx="10">
                        <c:v>288.52642600000001</c:v>
                      </c:pt>
                      <c:pt idx="11">
                        <c:v>351.76889499999999</c:v>
                      </c:pt>
                      <c:pt idx="12">
                        <c:v>338.55611199999998</c:v>
                      </c:pt>
                      <c:pt idx="13">
                        <c:v>447.68242700000002</c:v>
                      </c:pt>
                      <c:pt idx="14">
                        <c:v>455.57352000000003</c:v>
                      </c:pt>
                      <c:pt idx="15">
                        <c:v>535.51750799999991</c:v>
                      </c:pt>
                      <c:pt idx="16">
                        <c:v>888.51230199999998</c:v>
                      </c:pt>
                      <c:pt idx="17">
                        <c:v>1168.5538710000001</c:v>
                      </c:pt>
                      <c:pt idx="18">
                        <c:v>469.49337399999996</c:v>
                      </c:pt>
                      <c:pt idx="19">
                        <c:v>349.00295799999998</c:v>
                      </c:pt>
                      <c:pt idx="20">
                        <c:v>461.22297900000001</c:v>
                      </c:pt>
                      <c:pt idx="21">
                        <c:v>312.25169899999997</c:v>
                      </c:pt>
                      <c:pt idx="22">
                        <c:v>521.40771200000006</c:v>
                      </c:pt>
                      <c:pt idx="23">
                        <c:v>1250.1815240000001</c:v>
                      </c:pt>
                      <c:pt idx="24">
                        <c:v>1326.2938319999998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04'!$D$124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04'!$A$125:$A$149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04'!$D$125:$D$149</c:f>
              <c:numCache>
                <c:formatCode>0.0000%</c:formatCode>
                <c:ptCount val="25"/>
                <c:pt idx="0">
                  <c:v>1.5189609466275653E-5</c:v>
                </c:pt>
                <c:pt idx="1">
                  <c:v>2.2332476867852127E-5</c:v>
                </c:pt>
                <c:pt idx="2">
                  <c:v>1.9148704128277542E-5</c:v>
                </c:pt>
                <c:pt idx="3">
                  <c:v>1.6279993333051404E-5</c:v>
                </c:pt>
                <c:pt idx="4">
                  <c:v>2.8848445046903876E-5</c:v>
                </c:pt>
                <c:pt idx="5">
                  <c:v>4.00174540461004E-5</c:v>
                </c:pt>
                <c:pt idx="6">
                  <c:v>2.6729558146610589E-5</c:v>
                </c:pt>
                <c:pt idx="7">
                  <c:v>3.412983437135615E-5</c:v>
                </c:pt>
                <c:pt idx="8">
                  <c:v>3.3831775259002518E-5</c:v>
                </c:pt>
                <c:pt idx="9">
                  <c:v>2.8783995906011798E-5</c:v>
                </c:pt>
                <c:pt idx="10">
                  <c:v>2.938044915812813E-5</c:v>
                </c:pt>
                <c:pt idx="11">
                  <c:v>3.5919198399637674E-5</c:v>
                </c:pt>
                <c:pt idx="12">
                  <c:v>3.5756202625474668E-5</c:v>
                </c:pt>
                <c:pt idx="13">
                  <c:v>3.8238987081439198E-5</c:v>
                </c:pt>
                <c:pt idx="14">
                  <c:v>3.108310878539073E-5</c:v>
                </c:pt>
                <c:pt idx="15">
                  <c:v>3.2936652119276863E-5</c:v>
                </c:pt>
                <c:pt idx="16">
                  <c:v>4.2837109147560581E-5</c:v>
                </c:pt>
                <c:pt idx="17">
                  <c:v>4.7894999377726176E-5</c:v>
                </c:pt>
                <c:pt idx="18">
                  <c:v>2.0079121533396742E-5</c:v>
                </c:pt>
                <c:pt idx="19">
                  <c:v>1.2159611365417501E-5</c:v>
                </c:pt>
                <c:pt idx="20">
                  <c:v>1.3750809102807423E-5</c:v>
                </c:pt>
                <c:pt idx="21">
                  <c:v>8.4470040602964908E-6</c:v>
                </c:pt>
                <c:pt idx="22">
                  <c:v>1.371433049671193E-5</c:v>
                </c:pt>
                <c:pt idx="23">
                  <c:v>3.3037225068768353E-5</c:v>
                </c:pt>
                <c:pt idx="24">
                  <c:v>4.5408556741016207E-5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15928"/>
        <c:axId val="519615536"/>
      </c:lineChart>
      <c:catAx>
        <c:axId val="51961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5144"/>
        <c:crosses val="autoZero"/>
        <c:auto val="1"/>
        <c:lblAlgn val="ctr"/>
        <c:lblOffset val="100"/>
        <c:noMultiLvlLbl val="0"/>
      </c:catAx>
      <c:valAx>
        <c:axId val="51961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4752"/>
        <c:crosses val="autoZero"/>
        <c:crossBetween val="between"/>
        <c:majorUnit val="80000"/>
      </c:valAx>
      <c:valAx>
        <c:axId val="519615536"/>
        <c:scaling>
          <c:orientation val="minMax"/>
          <c:max val="5.0000000000000023E-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5928"/>
        <c:crosses val="max"/>
        <c:crossBetween val="between"/>
        <c:majorUnit val="8.000000000000003E-6"/>
      </c:valAx>
      <c:catAx>
        <c:axId val="5196159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615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04'!$C$153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04'!$A$154:$A$178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616712"/>
        <c:axId val="519617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04'!$B$153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04'!$A$154:$A$178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04'!$B$154:$B$178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62.641268000000004</c:v>
                      </c:pt>
                      <c:pt idx="1">
                        <c:v>110.05351999999999</c:v>
                      </c:pt>
                      <c:pt idx="2">
                        <c:v>106.85463299999999</c:v>
                      </c:pt>
                      <c:pt idx="3">
                        <c:v>133.013238</c:v>
                      </c:pt>
                      <c:pt idx="4">
                        <c:v>266.86911200000003</c:v>
                      </c:pt>
                      <c:pt idx="5">
                        <c:v>388.81003000000004</c:v>
                      </c:pt>
                      <c:pt idx="6">
                        <c:v>285.09615199999996</c:v>
                      </c:pt>
                      <c:pt idx="7">
                        <c:v>335.98686500000002</c:v>
                      </c:pt>
                      <c:pt idx="8">
                        <c:v>291.58306800000003</c:v>
                      </c:pt>
                      <c:pt idx="9">
                        <c:v>287.51348400000001</c:v>
                      </c:pt>
                      <c:pt idx="10">
                        <c:v>288.52642600000001</c:v>
                      </c:pt>
                      <c:pt idx="11">
                        <c:v>351.76889499999999</c:v>
                      </c:pt>
                      <c:pt idx="12">
                        <c:v>338.55611199999998</c:v>
                      </c:pt>
                      <c:pt idx="13">
                        <c:v>447.68242700000002</c:v>
                      </c:pt>
                      <c:pt idx="14">
                        <c:v>455.57352000000003</c:v>
                      </c:pt>
                      <c:pt idx="15">
                        <c:v>535.51750799999991</c:v>
                      </c:pt>
                      <c:pt idx="16">
                        <c:v>888.51230199999998</c:v>
                      </c:pt>
                      <c:pt idx="17">
                        <c:v>1168.5538710000001</c:v>
                      </c:pt>
                      <c:pt idx="18">
                        <c:v>469.49337399999996</c:v>
                      </c:pt>
                      <c:pt idx="19">
                        <c:v>349.00295799999998</c:v>
                      </c:pt>
                      <c:pt idx="20">
                        <c:v>461.22297900000001</c:v>
                      </c:pt>
                      <c:pt idx="21">
                        <c:v>312.25169899999997</c:v>
                      </c:pt>
                      <c:pt idx="22">
                        <c:v>521.40771200000006</c:v>
                      </c:pt>
                      <c:pt idx="23">
                        <c:v>1250.1815240000001</c:v>
                      </c:pt>
                      <c:pt idx="24">
                        <c:v>1326.2938319999998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04'!$D$153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04'!$A$154:$A$178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04'!$D$154:$D$178</c:f>
              <c:numCache>
                <c:formatCode>0.00000%</c:formatCode>
                <c:ptCount val="25"/>
                <c:pt idx="0">
                  <c:v>1.0145907309035589E-6</c:v>
                </c:pt>
                <c:pt idx="1">
                  <c:v>1.6829559253981198E-6</c:v>
                </c:pt>
                <c:pt idx="2">
                  <c:v>1.5534091236186741E-6</c:v>
                </c:pt>
                <c:pt idx="3">
                  <c:v>1.8199164974061929E-6</c:v>
                </c:pt>
                <c:pt idx="4">
                  <c:v>3.4820853698953298E-6</c:v>
                </c:pt>
                <c:pt idx="5">
                  <c:v>4.800004715932358E-6</c:v>
                </c:pt>
                <c:pt idx="6">
                  <c:v>3.3117924752410835E-6</c:v>
                </c:pt>
                <c:pt idx="7">
                  <c:v>3.6965634808378507E-6</c:v>
                </c:pt>
                <c:pt idx="8">
                  <c:v>3.0182632923090686E-6</c:v>
                </c:pt>
                <c:pt idx="9">
                  <c:v>2.7955241819002623E-6</c:v>
                </c:pt>
                <c:pt idx="10">
                  <c:v>2.7163547993263681E-6</c:v>
                </c:pt>
                <c:pt idx="11">
                  <c:v>3.2044495229065523E-6</c:v>
                </c:pt>
                <c:pt idx="12">
                  <c:v>2.9412372346700929E-6</c:v>
                </c:pt>
                <c:pt idx="13">
                  <c:v>3.6471287407958728E-6</c:v>
                </c:pt>
                <c:pt idx="14">
                  <c:v>3.4793268165226614E-6</c:v>
                </c:pt>
                <c:pt idx="15">
                  <c:v>3.8649093295211382E-6</c:v>
                </c:pt>
                <c:pt idx="16">
                  <c:v>6.1371370531167556E-6</c:v>
                </c:pt>
                <c:pt idx="17">
                  <c:v>7.9393101251193899E-6</c:v>
                </c:pt>
                <c:pt idx="18">
                  <c:v>3.2561333830926549E-6</c:v>
                </c:pt>
                <c:pt idx="19">
                  <c:v>2.3322258895996435E-6</c:v>
                </c:pt>
                <c:pt idx="20">
                  <c:v>2.9721947314351159E-6</c:v>
                </c:pt>
                <c:pt idx="21">
                  <c:v>1.9328181387418521E-6</c:v>
                </c:pt>
                <c:pt idx="22">
                  <c:v>3.1291046356153341E-6</c:v>
                </c:pt>
                <c:pt idx="23">
                  <c:v>7.2064582164075131E-6</c:v>
                </c:pt>
                <c:pt idx="24">
                  <c:v>7.3900603309879823E-6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17888"/>
        <c:axId val="519617496"/>
      </c:lineChart>
      <c:catAx>
        <c:axId val="519616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7104"/>
        <c:crosses val="autoZero"/>
        <c:auto val="1"/>
        <c:lblAlgn val="ctr"/>
        <c:lblOffset val="100"/>
        <c:noMultiLvlLbl val="0"/>
      </c:catAx>
      <c:valAx>
        <c:axId val="51961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6712"/>
        <c:crosses val="autoZero"/>
        <c:crossBetween val="between"/>
        <c:majorUnit val="4000"/>
      </c:valAx>
      <c:valAx>
        <c:axId val="5196174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7888"/>
        <c:crosses val="max"/>
        <c:crossBetween val="between"/>
      </c:valAx>
      <c:catAx>
        <c:axId val="519617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9617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04'!$D$183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04'!$A$184:$A$208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618672"/>
        <c:axId val="437095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04'!$B$183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04'!$A$184:$A$208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04'!$B$184:$B$208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62.641268000000004</c:v>
                      </c:pt>
                      <c:pt idx="1">
                        <c:v>110.05351999999999</c:v>
                      </c:pt>
                      <c:pt idx="2">
                        <c:v>106.85463299999999</c:v>
                      </c:pt>
                      <c:pt idx="3">
                        <c:v>133.013238</c:v>
                      </c:pt>
                      <c:pt idx="4">
                        <c:v>266.86911200000003</c:v>
                      </c:pt>
                      <c:pt idx="5">
                        <c:v>388.81003000000004</c:v>
                      </c:pt>
                      <c:pt idx="6">
                        <c:v>285.09615199999996</c:v>
                      </c:pt>
                      <c:pt idx="7">
                        <c:v>335.98686500000002</c:v>
                      </c:pt>
                      <c:pt idx="8">
                        <c:v>291.58306800000003</c:v>
                      </c:pt>
                      <c:pt idx="9">
                        <c:v>287.51348400000001</c:v>
                      </c:pt>
                      <c:pt idx="10">
                        <c:v>288.52642600000001</c:v>
                      </c:pt>
                      <c:pt idx="11">
                        <c:v>351.76889499999999</c:v>
                      </c:pt>
                      <c:pt idx="12">
                        <c:v>338.55611199999998</c:v>
                      </c:pt>
                      <c:pt idx="13">
                        <c:v>447.68242700000002</c:v>
                      </c:pt>
                      <c:pt idx="14">
                        <c:v>455.57352000000003</c:v>
                      </c:pt>
                      <c:pt idx="15">
                        <c:v>535.51750799999991</c:v>
                      </c:pt>
                      <c:pt idx="16">
                        <c:v>888.51230199999998</c:v>
                      </c:pt>
                      <c:pt idx="17">
                        <c:v>1168.5538710000001</c:v>
                      </c:pt>
                      <c:pt idx="18">
                        <c:v>469.49337399999996</c:v>
                      </c:pt>
                      <c:pt idx="19">
                        <c:v>349.00295799999998</c:v>
                      </c:pt>
                      <c:pt idx="20">
                        <c:v>461.22297900000001</c:v>
                      </c:pt>
                      <c:pt idx="21">
                        <c:v>312.25169899999997</c:v>
                      </c:pt>
                      <c:pt idx="22">
                        <c:v>521.40771200000006</c:v>
                      </c:pt>
                      <c:pt idx="23">
                        <c:v>1250.1815240000001</c:v>
                      </c:pt>
                      <c:pt idx="24">
                        <c:v>1326.2938319999998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04'!$C$183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04'!$A$184:$A$208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04'!$C$184:$C$208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31.320634000000002</c:v>
                      </c:pt>
                      <c:pt idx="1">
                        <c:v>55.026759999999996</c:v>
                      </c:pt>
                      <c:pt idx="2">
                        <c:v>53.427316499999996</c:v>
                      </c:pt>
                      <c:pt idx="3">
                        <c:v>66.506619000000001</c:v>
                      </c:pt>
                      <c:pt idx="4">
                        <c:v>133.43455600000001</c:v>
                      </c:pt>
                      <c:pt idx="5">
                        <c:v>194.40501500000002</c:v>
                      </c:pt>
                      <c:pt idx="6">
                        <c:v>142.54807599999998</c:v>
                      </c:pt>
                      <c:pt idx="7">
                        <c:v>167.99343250000001</c:v>
                      </c:pt>
                      <c:pt idx="8">
                        <c:v>145.79153400000001</c:v>
                      </c:pt>
                      <c:pt idx="9">
                        <c:v>143.756742</c:v>
                      </c:pt>
                      <c:pt idx="10">
                        <c:v>144.26321300000001</c:v>
                      </c:pt>
                      <c:pt idx="11">
                        <c:v>175.88444749999999</c:v>
                      </c:pt>
                      <c:pt idx="12">
                        <c:v>169.27805599999999</c:v>
                      </c:pt>
                      <c:pt idx="13">
                        <c:v>223.84121350000001</c:v>
                      </c:pt>
                      <c:pt idx="14">
                        <c:v>227.78676000000002</c:v>
                      </c:pt>
                      <c:pt idx="15">
                        <c:v>267.75875399999995</c:v>
                      </c:pt>
                      <c:pt idx="16">
                        <c:v>444.25615099999999</c:v>
                      </c:pt>
                      <c:pt idx="17">
                        <c:v>584.27693550000004</c:v>
                      </c:pt>
                      <c:pt idx="18">
                        <c:v>234.74668699999998</c:v>
                      </c:pt>
                      <c:pt idx="19">
                        <c:v>174.50147899999999</c:v>
                      </c:pt>
                      <c:pt idx="20">
                        <c:v>230.6114895</c:v>
                      </c:pt>
                      <c:pt idx="21">
                        <c:v>156.12584949999999</c:v>
                      </c:pt>
                      <c:pt idx="22">
                        <c:v>260.70385600000003</c:v>
                      </c:pt>
                      <c:pt idx="23">
                        <c:v>625.09076200000004</c:v>
                      </c:pt>
                      <c:pt idx="24">
                        <c:v>663.14691599999992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04'!$E$183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04'!$A$184:$A$208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04'!$E$184:$E$208</c:f>
              <c:numCache>
                <c:formatCode>0.0000%</c:formatCode>
                <c:ptCount val="25"/>
                <c:pt idx="0">
                  <c:v>7.5948047331378265E-6</c:v>
                </c:pt>
                <c:pt idx="1">
                  <c:v>1.1166238433926064E-5</c:v>
                </c:pt>
                <c:pt idx="2">
                  <c:v>9.574352064138771E-6</c:v>
                </c:pt>
                <c:pt idx="3">
                  <c:v>8.1399966665257021E-6</c:v>
                </c:pt>
                <c:pt idx="4">
                  <c:v>1.4424222523451938E-5</c:v>
                </c:pt>
                <c:pt idx="5">
                  <c:v>2.00087270230502E-5</c:v>
                </c:pt>
                <c:pt idx="6">
                  <c:v>1.3364779073305296E-5</c:v>
                </c:pt>
                <c:pt idx="7">
                  <c:v>1.7064917185678079E-5</c:v>
                </c:pt>
                <c:pt idx="8">
                  <c:v>1.6915887629501255E-5</c:v>
                </c:pt>
                <c:pt idx="9">
                  <c:v>1.4391997953005901E-5</c:v>
                </c:pt>
                <c:pt idx="10">
                  <c:v>1.4690224579064065E-5</c:v>
                </c:pt>
                <c:pt idx="11">
                  <c:v>1.7959599199818837E-5</c:v>
                </c:pt>
                <c:pt idx="12">
                  <c:v>1.7878101312737334E-5</c:v>
                </c:pt>
                <c:pt idx="13">
                  <c:v>1.9119493540719599E-5</c:v>
                </c:pt>
                <c:pt idx="14">
                  <c:v>1.5541554392695365E-5</c:v>
                </c:pt>
                <c:pt idx="15">
                  <c:v>1.6468326059638432E-5</c:v>
                </c:pt>
                <c:pt idx="16">
                  <c:v>2.1418554573780287E-5</c:v>
                </c:pt>
                <c:pt idx="17">
                  <c:v>2.3947499688863085E-5</c:v>
                </c:pt>
                <c:pt idx="18">
                  <c:v>1.0039560766698371E-5</c:v>
                </c:pt>
                <c:pt idx="19">
                  <c:v>6.0798056827087513E-6</c:v>
                </c:pt>
                <c:pt idx="20">
                  <c:v>6.8754045514037124E-6</c:v>
                </c:pt>
                <c:pt idx="21">
                  <c:v>4.2235020301482446E-6</c:v>
                </c:pt>
                <c:pt idx="22">
                  <c:v>6.8571652483559651E-6</c:v>
                </c:pt>
                <c:pt idx="23">
                  <c:v>1.6518612534384177E-5</c:v>
                </c:pt>
                <c:pt idx="24">
                  <c:v>2.2704278370508103E-5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096112"/>
        <c:axId val="437095720"/>
      </c:lineChart>
      <c:catAx>
        <c:axId val="519618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095328"/>
        <c:crosses val="autoZero"/>
        <c:auto val="1"/>
        <c:lblAlgn val="ctr"/>
        <c:lblOffset val="100"/>
        <c:noMultiLvlLbl val="0"/>
      </c:catAx>
      <c:valAx>
        <c:axId val="43709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9618672"/>
        <c:crosses val="autoZero"/>
        <c:crossBetween val="between"/>
        <c:majorUnit val="80000"/>
      </c:valAx>
      <c:valAx>
        <c:axId val="437095720"/>
        <c:scaling>
          <c:orientation val="minMax"/>
          <c:max val="2.5000000000000011E-5"/>
          <c:min val="0"/>
        </c:scaling>
        <c:delete val="0"/>
        <c:axPos val="r"/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096112"/>
        <c:crosses val="max"/>
        <c:crossBetween val="between"/>
        <c:majorUnit val="5.0000000000000021E-6"/>
      </c:valAx>
      <c:catAx>
        <c:axId val="437096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095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04'!$D$212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04'!$A$213:$A$237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096896"/>
        <c:axId val="4370972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04'!$B$212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04'!$A$213:$A$237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04'!$B$213:$B$237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62.641268000000004</c:v>
                      </c:pt>
                      <c:pt idx="1">
                        <c:v>110.05351999999999</c:v>
                      </c:pt>
                      <c:pt idx="2">
                        <c:v>106.85463299999999</c:v>
                      </c:pt>
                      <c:pt idx="3">
                        <c:v>133.013238</c:v>
                      </c:pt>
                      <c:pt idx="4">
                        <c:v>266.86911200000003</c:v>
                      </c:pt>
                      <c:pt idx="5">
                        <c:v>388.81003000000004</c:v>
                      </c:pt>
                      <c:pt idx="6">
                        <c:v>285.09615199999996</c:v>
                      </c:pt>
                      <c:pt idx="7">
                        <c:v>335.98686500000002</c:v>
                      </c:pt>
                      <c:pt idx="8">
                        <c:v>291.58306800000003</c:v>
                      </c:pt>
                      <c:pt idx="9">
                        <c:v>287.51348400000001</c:v>
                      </c:pt>
                      <c:pt idx="10">
                        <c:v>288.52642600000001</c:v>
                      </c:pt>
                      <c:pt idx="11">
                        <c:v>351.76889499999999</c:v>
                      </c:pt>
                      <c:pt idx="12">
                        <c:v>338.55611199999998</c:v>
                      </c:pt>
                      <c:pt idx="13">
                        <c:v>447.68242700000002</c:v>
                      </c:pt>
                      <c:pt idx="14">
                        <c:v>455.57352000000003</c:v>
                      </c:pt>
                      <c:pt idx="15">
                        <c:v>535.51750799999991</c:v>
                      </c:pt>
                      <c:pt idx="16">
                        <c:v>888.51230199999998</c:v>
                      </c:pt>
                      <c:pt idx="17">
                        <c:v>1168.5538710000001</c:v>
                      </c:pt>
                      <c:pt idx="18">
                        <c:v>469.49337399999996</c:v>
                      </c:pt>
                      <c:pt idx="19">
                        <c:v>349.00295799999998</c:v>
                      </c:pt>
                      <c:pt idx="20">
                        <c:v>461.22297900000001</c:v>
                      </c:pt>
                      <c:pt idx="21">
                        <c:v>312.25169899999997</c:v>
                      </c:pt>
                      <c:pt idx="22">
                        <c:v>521.40771200000006</c:v>
                      </c:pt>
                      <c:pt idx="23">
                        <c:v>1250.1815240000001</c:v>
                      </c:pt>
                      <c:pt idx="24">
                        <c:v>1326.2938319999998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04'!$C$212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04'!$A$213:$A$237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04'!$C$213:$C$237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31.320634000000002</c:v>
                      </c:pt>
                      <c:pt idx="1">
                        <c:v>55.026759999999996</c:v>
                      </c:pt>
                      <c:pt idx="2">
                        <c:v>53.427316499999996</c:v>
                      </c:pt>
                      <c:pt idx="3">
                        <c:v>66.506619000000001</c:v>
                      </c:pt>
                      <c:pt idx="4">
                        <c:v>133.43455600000001</c:v>
                      </c:pt>
                      <c:pt idx="5">
                        <c:v>194.40501500000002</c:v>
                      </c:pt>
                      <c:pt idx="6">
                        <c:v>142.54807599999998</c:v>
                      </c:pt>
                      <c:pt idx="7">
                        <c:v>167.99343250000001</c:v>
                      </c:pt>
                      <c:pt idx="8">
                        <c:v>145.79153400000001</c:v>
                      </c:pt>
                      <c:pt idx="9">
                        <c:v>143.756742</c:v>
                      </c:pt>
                      <c:pt idx="10">
                        <c:v>144.26321300000001</c:v>
                      </c:pt>
                      <c:pt idx="11">
                        <c:v>175.88444749999999</c:v>
                      </c:pt>
                      <c:pt idx="12">
                        <c:v>169.27805599999999</c:v>
                      </c:pt>
                      <c:pt idx="13">
                        <c:v>223.84121350000001</c:v>
                      </c:pt>
                      <c:pt idx="14">
                        <c:v>227.78676000000002</c:v>
                      </c:pt>
                      <c:pt idx="15">
                        <c:v>267.75875399999995</c:v>
                      </c:pt>
                      <c:pt idx="16">
                        <c:v>444.25615099999999</c:v>
                      </c:pt>
                      <c:pt idx="17">
                        <c:v>584.27693550000004</c:v>
                      </c:pt>
                      <c:pt idx="18">
                        <c:v>234.74668699999998</c:v>
                      </c:pt>
                      <c:pt idx="19">
                        <c:v>174.50147899999999</c:v>
                      </c:pt>
                      <c:pt idx="20">
                        <c:v>230.6114895</c:v>
                      </c:pt>
                      <c:pt idx="21">
                        <c:v>156.12584949999999</c:v>
                      </c:pt>
                      <c:pt idx="22">
                        <c:v>260.70385600000003</c:v>
                      </c:pt>
                      <c:pt idx="23">
                        <c:v>625.09076200000004</c:v>
                      </c:pt>
                      <c:pt idx="24">
                        <c:v>663.14691599999992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04'!$E$212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04'!$A$213:$A$237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04'!$E$213:$E$237</c:f>
              <c:numCache>
                <c:formatCode>0.00000%</c:formatCode>
                <c:ptCount val="25"/>
                <c:pt idx="0">
                  <c:v>5.0729536545177944E-7</c:v>
                </c:pt>
                <c:pt idx="1">
                  <c:v>8.414779626990599E-7</c:v>
                </c:pt>
                <c:pt idx="2">
                  <c:v>7.7670456180933706E-7</c:v>
                </c:pt>
                <c:pt idx="3">
                  <c:v>9.0995824870309645E-7</c:v>
                </c:pt>
                <c:pt idx="4">
                  <c:v>1.7410426849476649E-6</c:v>
                </c:pt>
                <c:pt idx="5">
                  <c:v>2.400002357966179E-6</c:v>
                </c:pt>
                <c:pt idx="6">
                  <c:v>1.6558962376205417E-6</c:v>
                </c:pt>
                <c:pt idx="7">
                  <c:v>1.8482817404189253E-6</c:v>
                </c:pt>
                <c:pt idx="8">
                  <c:v>1.5091316461545343E-6</c:v>
                </c:pt>
                <c:pt idx="9">
                  <c:v>1.3977620909501312E-6</c:v>
                </c:pt>
                <c:pt idx="10">
                  <c:v>1.3581773996631841E-6</c:v>
                </c:pt>
                <c:pt idx="11">
                  <c:v>1.6022247614532762E-6</c:v>
                </c:pt>
                <c:pt idx="12">
                  <c:v>1.4706186173350465E-6</c:v>
                </c:pt>
                <c:pt idx="13">
                  <c:v>1.8235643703979364E-6</c:v>
                </c:pt>
                <c:pt idx="14">
                  <c:v>1.7396634082613307E-6</c:v>
                </c:pt>
                <c:pt idx="15">
                  <c:v>1.9324546647605691E-6</c:v>
                </c:pt>
                <c:pt idx="16">
                  <c:v>3.0685685265583778E-6</c:v>
                </c:pt>
                <c:pt idx="17">
                  <c:v>3.9696550625596949E-6</c:v>
                </c:pt>
                <c:pt idx="18">
                  <c:v>1.6280666915463275E-6</c:v>
                </c:pt>
                <c:pt idx="19">
                  <c:v>1.1661129447998218E-6</c:v>
                </c:pt>
                <c:pt idx="20">
                  <c:v>1.4860973657175579E-6</c:v>
                </c:pt>
                <c:pt idx="21">
                  <c:v>9.6640906937092604E-7</c:v>
                </c:pt>
                <c:pt idx="22">
                  <c:v>1.564552317807667E-6</c:v>
                </c:pt>
                <c:pt idx="23">
                  <c:v>3.6032291082037565E-6</c:v>
                </c:pt>
                <c:pt idx="24">
                  <c:v>3.6950301654939911E-6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098072"/>
        <c:axId val="437097680"/>
      </c:lineChart>
      <c:catAx>
        <c:axId val="437096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097288"/>
        <c:crosses val="autoZero"/>
        <c:auto val="1"/>
        <c:lblAlgn val="ctr"/>
        <c:lblOffset val="100"/>
        <c:noMultiLvlLbl val="0"/>
      </c:catAx>
      <c:valAx>
        <c:axId val="43709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096896"/>
        <c:crosses val="autoZero"/>
        <c:crossBetween val="between"/>
        <c:majorUnit val="4000"/>
      </c:valAx>
      <c:valAx>
        <c:axId val="437097680"/>
        <c:scaling>
          <c:orientation val="minMax"/>
        </c:scaling>
        <c:delete val="0"/>
        <c:axPos val="r"/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098072"/>
        <c:crosses val="max"/>
        <c:crossBetween val="between"/>
      </c:valAx>
      <c:catAx>
        <c:axId val="437098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097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04'!$D$5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04'!$D$6:$D$30</c:f>
              <c:numCache>
                <c:formatCode>"$"\ #,##0.00000</c:formatCode>
                <c:ptCount val="25"/>
                <c:pt idx="0">
                  <c:v>0.1609565390402741</c:v>
                </c:pt>
                <c:pt idx="1">
                  <c:v>0.17944615204439973</c:v>
                </c:pt>
                <c:pt idx="2">
                  <c:v>0.12225977838384662</c:v>
                </c:pt>
                <c:pt idx="3">
                  <c:v>0.18217070891130804</c:v>
                </c:pt>
                <c:pt idx="4">
                  <c:v>0.15184404517228031</c:v>
                </c:pt>
                <c:pt idx="5">
                  <c:v>0.10351520500787406</c:v>
                </c:pt>
                <c:pt idx="6">
                  <c:v>8.5729436028463946E-2</c:v>
                </c:pt>
                <c:pt idx="7">
                  <c:v>9.9920871684425067E-2</c:v>
                </c:pt>
                <c:pt idx="8">
                  <c:v>0.13591380671488149</c:v>
                </c:pt>
                <c:pt idx="9">
                  <c:v>0.1338238902382379</c:v>
                </c:pt>
                <c:pt idx="10">
                  <c:v>0.24791894435231679</c:v>
                </c:pt>
                <c:pt idx="11">
                  <c:v>0.32434644160211284</c:v>
                </c:pt>
                <c:pt idx="12">
                  <c:v>0.30411564120388274</c:v>
                </c:pt>
                <c:pt idx="13">
                  <c:v>0.34328849914850634</c:v>
                </c:pt>
                <c:pt idx="14">
                  <c:v>0.43501320817433226</c:v>
                </c:pt>
                <c:pt idx="15">
                  <c:v>0.52091659955606096</c:v>
                </c:pt>
                <c:pt idx="16">
                  <c:v>0.46141286134525816</c:v>
                </c:pt>
                <c:pt idx="17">
                  <c:v>0.50206281516200246</c:v>
                </c:pt>
                <c:pt idx="18">
                  <c:v>0.57860241902235254</c:v>
                </c:pt>
                <c:pt idx="19">
                  <c:v>0.52796448326137191</c:v>
                </c:pt>
                <c:pt idx="20">
                  <c:v>0.46237184246639468</c:v>
                </c:pt>
                <c:pt idx="21">
                  <c:v>0.48708830051584712</c:v>
                </c:pt>
                <c:pt idx="22">
                  <c:v>0.51930601603880588</c:v>
                </c:pt>
                <c:pt idx="23">
                  <c:v>0.66565817181802267</c:v>
                </c:pt>
                <c:pt idx="24">
                  <c:v>0.63905375564236588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04'!$D$35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04'!$D$36:$D$60</c:f>
              <c:numCache>
                <c:formatCode>"$"\ #,##0.0000</c:formatCode>
                <c:ptCount val="25"/>
                <c:pt idx="0">
                  <c:v>1.637500046654419</c:v>
                </c:pt>
                <c:pt idx="1">
                  <c:v>2.9188254590109382</c:v>
                </c:pt>
                <c:pt idx="2">
                  <c:v>2.8289461837161918</c:v>
                </c:pt>
                <c:pt idx="3">
                  <c:v>3.4270326577332852</c:v>
                </c:pt>
                <c:pt idx="4">
                  <c:v>6.9699482688278858</c:v>
                </c:pt>
                <c:pt idx="5">
                  <c:v>10.11003736729357</c:v>
                </c:pt>
                <c:pt idx="6">
                  <c:v>7.2933582577829386</c:v>
                </c:pt>
                <c:pt idx="7">
                  <c:v>8.4745726723882555</c:v>
                </c:pt>
                <c:pt idx="8">
                  <c:v>7.2030545170524896</c:v>
                </c:pt>
                <c:pt idx="9">
                  <c:v>7.0012913084251975</c:v>
                </c:pt>
                <c:pt idx="10">
                  <c:v>6.8214609460129916</c:v>
                </c:pt>
                <c:pt idx="11">
                  <c:v>8.187119914179025</c:v>
                </c:pt>
                <c:pt idx="12">
                  <c:v>7.785837372920076</c:v>
                </c:pt>
                <c:pt idx="13">
                  <c:v>10.223112086909683</c:v>
                </c:pt>
                <c:pt idx="14">
                  <c:v>10.187240840174935</c:v>
                </c:pt>
                <c:pt idx="15">
                  <c:v>11.816503361888861</c:v>
                </c:pt>
                <c:pt idx="16">
                  <c:v>19.765639705885199</c:v>
                </c:pt>
                <c:pt idx="17">
                  <c:v>25.786434779736958</c:v>
                </c:pt>
                <c:pt idx="18">
                  <c:v>9.859493750304587</c:v>
                </c:pt>
                <c:pt idx="19">
                  <c:v>7.1408148666004063</c:v>
                </c:pt>
                <c:pt idx="20">
                  <c:v>9.5545024268969119</c:v>
                </c:pt>
                <c:pt idx="21">
                  <c:v>6.2162066521097721</c:v>
                </c:pt>
                <c:pt idx="22">
                  <c:v>10.545966944864116</c:v>
                </c:pt>
                <c:pt idx="23">
                  <c:v>25.564611456972859</c:v>
                </c:pt>
                <c:pt idx="24">
                  <c:v>26.875472075053619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04'!$D$64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04'!$D$65:$D$89</c:f>
              <c:numCache>
                <c:formatCode>"$"\ #,##0.00</c:formatCode>
                <c:ptCount val="25"/>
                <c:pt idx="0">
                  <c:v>1.798456585694693</c:v>
                </c:pt>
                <c:pt idx="1">
                  <c:v>3.0982716110553379</c:v>
                </c:pt>
                <c:pt idx="2">
                  <c:v>2.9512059621000386</c:v>
                </c:pt>
                <c:pt idx="3">
                  <c:v>3.6092033666445933</c:v>
                </c:pt>
                <c:pt idx="4">
                  <c:v>7.1217923140001664</c:v>
                </c:pt>
                <c:pt idx="5">
                  <c:v>10.213552572301445</c:v>
                </c:pt>
                <c:pt idx="6">
                  <c:v>7.3790876938114032</c:v>
                </c:pt>
                <c:pt idx="7">
                  <c:v>8.5744935440726806</c:v>
                </c:pt>
                <c:pt idx="8">
                  <c:v>7.3389683237673715</c:v>
                </c:pt>
                <c:pt idx="9">
                  <c:v>7.1351151986634358</c:v>
                </c:pt>
                <c:pt idx="10">
                  <c:v>7.0693798903653082</c:v>
                </c:pt>
                <c:pt idx="11">
                  <c:v>8.5114663557811365</c:v>
                </c:pt>
                <c:pt idx="12">
                  <c:v>8.0899530141239602</c:v>
                </c:pt>
                <c:pt idx="13">
                  <c:v>10.56640058605819</c:v>
                </c:pt>
                <c:pt idx="14">
                  <c:v>10.622254048349268</c:v>
                </c:pt>
                <c:pt idx="15">
                  <c:v>12.337419961444921</c:v>
                </c:pt>
                <c:pt idx="16">
                  <c:v>20.227052567230455</c:v>
                </c:pt>
                <c:pt idx="17">
                  <c:v>26.28849759489896</c:v>
                </c:pt>
                <c:pt idx="18">
                  <c:v>10.43809616932694</c:v>
                </c:pt>
                <c:pt idx="19">
                  <c:v>7.6687793498617776</c:v>
                </c:pt>
                <c:pt idx="20">
                  <c:v>10.016874269363306</c:v>
                </c:pt>
                <c:pt idx="21">
                  <c:v>6.7032949526256189</c:v>
                </c:pt>
                <c:pt idx="22">
                  <c:v>11.06527296090292</c:v>
                </c:pt>
                <c:pt idx="23">
                  <c:v>26.230269628790879</c:v>
                </c:pt>
                <c:pt idx="24">
                  <c:v>27.514525830695984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098856"/>
        <c:axId val="437099248"/>
      </c:lineChart>
      <c:catAx>
        <c:axId val="437098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099248"/>
        <c:crosses val="autoZero"/>
        <c:auto val="1"/>
        <c:lblAlgn val="ctr"/>
        <c:lblOffset val="100"/>
        <c:noMultiLvlLbl val="0"/>
      </c:catAx>
      <c:valAx>
        <c:axId val="437099248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0988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04'!$D$96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04'!$D$97:$D$121</c:f>
              <c:numCache>
                <c:formatCode>"$"\ #,##0.00</c:formatCode>
                <c:ptCount val="25"/>
                <c:pt idx="0">
                  <c:v>0.22488392082643327</c:v>
                </c:pt>
                <c:pt idx="1">
                  <c:v>0.40418306850254954</c:v>
                </c:pt>
                <c:pt idx="2">
                  <c:v>0.39527482238713235</c:v>
                </c:pt>
                <c:pt idx="3">
                  <c:v>0.47829681778074007</c:v>
                </c:pt>
                <c:pt idx="4">
                  <c:v>0.98040970277554629</c:v>
                </c:pt>
                <c:pt idx="5">
                  <c:v>1.4311137024504519</c:v>
                </c:pt>
                <c:pt idx="6">
                  <c:v>1.0383103685880311</c:v>
                </c:pt>
                <c:pt idx="7">
                  <c:v>1.2227212206904678</c:v>
                </c:pt>
                <c:pt idx="8">
                  <c:v>1.0443724053367589</c:v>
                </c:pt>
                <c:pt idx="9">
                  <c:v>0.9900059990745308</c:v>
                </c:pt>
                <c:pt idx="10">
                  <c:v>0.96795406930852546</c:v>
                </c:pt>
                <c:pt idx="11">
                  <c:v>1.1663384537643788</c:v>
                </c:pt>
                <c:pt idx="12">
                  <c:v>1.1127844722263187</c:v>
                </c:pt>
                <c:pt idx="13">
                  <c:v>1.4656970656325128</c:v>
                </c:pt>
                <c:pt idx="14">
                  <c:v>1.4642956795295257</c:v>
                </c:pt>
                <c:pt idx="15">
                  <c:v>1.7027008260800813</c:v>
                </c:pt>
                <c:pt idx="16">
                  <c:v>2.8551827693943785</c:v>
                </c:pt>
                <c:pt idx="17">
                  <c:v>3.7364504024752576</c:v>
                </c:pt>
                <c:pt idx="18">
                  <c:v>1.4363560227386993</c:v>
                </c:pt>
                <c:pt idx="19">
                  <c:v>1.0505207877248366</c:v>
                </c:pt>
                <c:pt idx="20">
                  <c:v>1.4113016449240197</c:v>
                </c:pt>
                <c:pt idx="21">
                  <c:v>0.92184369300183355</c:v>
                </c:pt>
                <c:pt idx="22">
                  <c:v>1.5701147665508963</c:v>
                </c:pt>
                <c:pt idx="23">
                  <c:v>3.8213206923669274</c:v>
                </c:pt>
                <c:pt idx="24">
                  <c:v>4.0305333240909791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04'!$D$126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04'!$D$127:$D$151</c:f>
              <c:numCache>
                <c:formatCode>"$"\ #,##0.0000</c:formatCode>
                <c:ptCount val="25"/>
                <c:pt idx="0">
                  <c:v>2.2104755145493257E-2</c:v>
                </c:pt>
                <c:pt idx="1">
                  <c:v>2.4848726785073834E-2</c:v>
                </c:pt>
                <c:pt idx="2">
                  <c:v>1.7082761228876513E-2</c:v>
                </c:pt>
                <c:pt idx="3">
                  <c:v>2.5424814720841019E-2</c:v>
                </c:pt>
                <c:pt idx="4">
                  <c:v>2.1358748939556603E-2</c:v>
                </c:pt>
                <c:pt idx="5">
                  <c:v>1.465296545569479E-2</c:v>
                </c:pt>
                <c:pt idx="6">
                  <c:v>1.2204770309557937E-2</c:v>
                </c:pt>
                <c:pt idx="7">
                  <c:v>1.4416699805585012E-2</c:v>
                </c:pt>
                <c:pt idx="8">
                  <c:v>1.9706171722184918E-2</c:v>
                </c:pt>
                <c:pt idx="9">
                  <c:v>1.8923145505446375E-2</c:v>
                </c:pt>
                <c:pt idx="10">
                  <c:v>3.5179289736278423E-2</c:v>
                </c:pt>
                <c:pt idx="11">
                  <c:v>4.620644758445816E-2</c:v>
                </c:pt>
                <c:pt idx="12">
                  <c:v>4.3465480600695959E-2</c:v>
                </c:pt>
                <c:pt idx="13">
                  <c:v>4.9217590650466304E-2</c:v>
                </c:pt>
                <c:pt idx="14">
                  <c:v>6.2528016296217695E-2</c:v>
                </c:pt>
                <c:pt idx="15">
                  <c:v>7.5061555624281656E-2</c:v>
                </c:pt>
                <c:pt idx="16">
                  <c:v>6.6651930870604642E-2</c:v>
                </c:pt>
                <c:pt idx="17">
                  <c:v>7.2748824093125011E-2</c:v>
                </c:pt>
                <c:pt idx="18">
                  <c:v>8.4292265950091233E-2</c:v>
                </c:pt>
                <c:pt idx="19">
                  <c:v>7.7671480805456633E-2</c:v>
                </c:pt>
                <c:pt idx="20">
                  <c:v>6.8297239634623752E-2</c:v>
                </c:pt>
                <c:pt idx="21">
                  <c:v>7.2233647125151304E-2</c:v>
                </c:pt>
                <c:pt idx="22">
                  <c:v>7.7315816406795287E-2</c:v>
                </c:pt>
                <c:pt idx="23">
                  <c:v>9.9500567426677872E-2</c:v>
                </c:pt>
                <c:pt idx="24">
                  <c:v>9.5839338219211936E-2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04'!$D$155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04'!$D$156:$D$180</c:f>
              <c:numCache>
                <c:formatCode>"$"\ #,##0.0000</c:formatCode>
                <c:ptCount val="25"/>
                <c:pt idx="0">
                  <c:v>0.2469886759719265</c:v>
                </c:pt>
                <c:pt idx="1">
                  <c:v>0.42903179528762336</c:v>
                </c:pt>
                <c:pt idx="2">
                  <c:v>0.41235758361600888</c:v>
                </c:pt>
                <c:pt idx="3">
                  <c:v>0.50372163250158108</c:v>
                </c:pt>
                <c:pt idx="4">
                  <c:v>1.0017684517151031</c:v>
                </c:pt>
                <c:pt idx="5">
                  <c:v>1.4457666679061469</c:v>
                </c:pt>
                <c:pt idx="6">
                  <c:v>1.0505151388975889</c:v>
                </c:pt>
                <c:pt idx="7">
                  <c:v>1.2371379204960529</c:v>
                </c:pt>
                <c:pt idx="8">
                  <c:v>1.0640785770589438</c:v>
                </c:pt>
                <c:pt idx="9">
                  <c:v>1.0089291445799773</c:v>
                </c:pt>
                <c:pt idx="10">
                  <c:v>1.0031333590448039</c:v>
                </c:pt>
                <c:pt idx="11">
                  <c:v>1.212544901348837</c:v>
                </c:pt>
                <c:pt idx="12">
                  <c:v>1.1562499528270147</c:v>
                </c:pt>
                <c:pt idx="13">
                  <c:v>1.5149146562829792</c:v>
                </c:pt>
                <c:pt idx="14">
                  <c:v>1.5268236958257433</c:v>
                </c:pt>
                <c:pt idx="15">
                  <c:v>1.7777623817043626</c:v>
                </c:pt>
                <c:pt idx="16">
                  <c:v>2.9218347002649829</c:v>
                </c:pt>
                <c:pt idx="17">
                  <c:v>3.8091992265683823</c:v>
                </c:pt>
                <c:pt idx="18">
                  <c:v>1.5206482886887907</c:v>
                </c:pt>
                <c:pt idx="19">
                  <c:v>1.1281922685302934</c:v>
                </c:pt>
                <c:pt idx="20">
                  <c:v>1.4795988845586436</c:v>
                </c:pt>
                <c:pt idx="21">
                  <c:v>0.99407734012698479</c:v>
                </c:pt>
                <c:pt idx="22">
                  <c:v>1.6474305829576916</c:v>
                </c:pt>
                <c:pt idx="23">
                  <c:v>3.9208212597936054</c:v>
                </c:pt>
                <c:pt idx="24">
                  <c:v>4.1263726623101906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100032"/>
        <c:axId val="437100424"/>
      </c:lineChart>
      <c:catAx>
        <c:axId val="43710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0424"/>
        <c:crosses val="autoZero"/>
        <c:auto val="1"/>
        <c:lblAlgn val="ctr"/>
        <c:lblOffset val="100"/>
        <c:noMultiLvlLbl val="0"/>
      </c:catAx>
      <c:valAx>
        <c:axId val="43710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04'!$D$5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04'!$B$6:$B$30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04'!$D$6:$D$30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101208"/>
        <c:axId val="4371016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04'!$C$5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04'!$B$6:$B$30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04'!$C$6:$C$30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5.6062079999999996</c:v>
                      </c:pt>
                      <c:pt idx="1">
                        <c:v>6.3740959999999998</c:v>
                      </c:pt>
                      <c:pt idx="2">
                        <c:v>4.4266730000000001</c:v>
                      </c:pt>
                      <c:pt idx="3">
                        <c:v>6.7137019999999996</c:v>
                      </c:pt>
                      <c:pt idx="4">
                        <c:v>5.6899280000000001</c:v>
                      </c:pt>
                      <c:pt idx="5">
                        <c:v>3.9406219999999998</c:v>
                      </c:pt>
                      <c:pt idx="6">
                        <c:v>3.3122159999999998</c:v>
                      </c:pt>
                      <c:pt idx="7">
                        <c:v>3.9153449999999999</c:v>
                      </c:pt>
                      <c:pt idx="8">
                        <c:v>5.3999639999999998</c:v>
                      </c:pt>
                      <c:pt idx="9">
                        <c:v>5.3925090000000004</c:v>
                      </c:pt>
                      <c:pt idx="10">
                        <c:v>10.118449999999999</c:v>
                      </c:pt>
                      <c:pt idx="11">
                        <c:v>13.404857</c:v>
                      </c:pt>
                      <c:pt idx="12">
                        <c:v>12.726922999999999</c:v>
                      </c:pt>
                      <c:pt idx="13">
                        <c:v>14.544615</c:v>
                      </c:pt>
                      <c:pt idx="14">
                        <c:v>18.657104</c:v>
                      </c:pt>
                      <c:pt idx="15">
                        <c:v>22.610883000000001</c:v>
                      </c:pt>
                      <c:pt idx="16">
                        <c:v>20.268450000000001</c:v>
                      </c:pt>
                      <c:pt idx="17">
                        <c:v>22.317267999999999</c:v>
                      </c:pt>
                      <c:pt idx="18">
                        <c:v>26.024861000000001</c:v>
                      </c:pt>
                      <c:pt idx="19">
                        <c:v>24.027443999999999</c:v>
                      </c:pt>
                      <c:pt idx="20">
                        <c:v>21.289726999999999</c:v>
                      </c:pt>
                      <c:pt idx="21">
                        <c:v>22.689461000000001</c:v>
                      </c:pt>
                      <c:pt idx="22">
                        <c:v>24.470265000000001</c:v>
                      </c:pt>
                      <c:pt idx="23">
                        <c:v>31.726458000000001</c:v>
                      </c:pt>
                      <c:pt idx="24">
                        <c:v>30.804566999999999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04'!$E$5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04'!$B$6:$B$30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04'!$E$6:$E$30</c:f>
              <c:numCache>
                <c:formatCode>0.00000000000%</c:formatCode>
                <c:ptCount val="25"/>
                <c:pt idx="0">
                  <c:v>1.8150915735735579E-12</c:v>
                </c:pt>
                <c:pt idx="1">
                  <c:v>1.7345054720183908E-12</c:v>
                </c:pt>
                <c:pt idx="2">
                  <c:v>8.1727549295857864E-13</c:v>
                </c:pt>
                <c:pt idx="3">
                  <c:v>8.1266078573042787E-13</c:v>
                </c:pt>
                <c:pt idx="4">
                  <c:v>5.8371239213494542E-13</c:v>
                </c:pt>
                <c:pt idx="5">
                  <c:v>2.867894203343233E-13</c:v>
                </c:pt>
                <c:pt idx="6">
                  <c:v>1.9668690869732337E-13</c:v>
                </c:pt>
                <c:pt idx="7">
                  <c:v>2.1204804439066173E-13</c:v>
                </c:pt>
                <c:pt idx="8">
                  <c:v>2.9589291322981107E-13</c:v>
                </c:pt>
                <c:pt idx="9">
                  <c:v>3.1020312014634319E-13</c:v>
                </c:pt>
                <c:pt idx="10">
                  <c:v>5.9670329897144328E-13</c:v>
                </c:pt>
                <c:pt idx="11">
                  <c:v>6.9425044700779788E-13</c:v>
                </c:pt>
                <c:pt idx="12">
                  <c:v>6.2451428962308787E-13</c:v>
                </c:pt>
                <c:pt idx="13">
                  <c:v>6.5987254436529701E-13</c:v>
                </c:pt>
                <c:pt idx="14">
                  <c:v>7.3158317174377011E-13</c:v>
                </c:pt>
                <c:pt idx="15">
                  <c:v>7.8068284880866452E-13</c:v>
                </c:pt>
                <c:pt idx="16">
                  <c:v>6.4167765284667393E-13</c:v>
                </c:pt>
                <c:pt idx="17">
                  <c:v>6.2514313594664871E-13</c:v>
                </c:pt>
                <c:pt idx="18">
                  <c:v>6.2867489311986597E-13</c:v>
                </c:pt>
                <c:pt idx="19">
                  <c:v>5.0400621636035158E-13</c:v>
                </c:pt>
                <c:pt idx="20">
                  <c:v>4.7320463824730759E-13</c:v>
                </c:pt>
                <c:pt idx="21">
                  <c:v>4.5864338231110136E-13</c:v>
                </c:pt>
                <c:pt idx="22">
                  <c:v>4.1797622306426927E-13</c:v>
                </c:pt>
                <c:pt idx="23">
                  <c:v>5.2241008270166061E-13</c:v>
                </c:pt>
                <c:pt idx="24">
                  <c:v>4.7734500093207929E-13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102384"/>
        <c:axId val="437101992"/>
      </c:lineChart>
      <c:catAx>
        <c:axId val="437101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1600"/>
        <c:crosses val="autoZero"/>
        <c:auto val="1"/>
        <c:lblAlgn val="ctr"/>
        <c:lblOffset val="100"/>
        <c:noMultiLvlLbl val="0"/>
      </c:catAx>
      <c:valAx>
        <c:axId val="43710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1208"/>
        <c:crosses val="autoZero"/>
        <c:crossBetween val="between"/>
      </c:valAx>
      <c:valAx>
        <c:axId val="437101992"/>
        <c:scaling>
          <c:orientation val="minMax"/>
          <c:max val="2.0000000000000012E-12"/>
        </c:scaling>
        <c:delete val="0"/>
        <c:axPos val="r"/>
        <c:numFmt formatCode="0.0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2384"/>
        <c:crosses val="max"/>
        <c:crossBetween val="between"/>
        <c:majorUnit val="4.0000000000000026E-13"/>
      </c:valAx>
      <c:catAx>
        <c:axId val="437102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101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04'!$D$36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04'!$B$37:$B$61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04'!$D$37:$D$61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103168"/>
        <c:axId val="4371035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04'!$C$36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04'!$B$37:$B$61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04'!$C$37:$C$61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57.035060000000001</c:v>
                      </c:pt>
                      <c:pt idx="1">
                        <c:v>103.679424</c:v>
                      </c:pt>
                      <c:pt idx="2">
                        <c:v>102.42796</c:v>
                      </c:pt>
                      <c:pt idx="3">
                        <c:v>126.299536</c:v>
                      </c:pt>
                      <c:pt idx="4">
                        <c:v>261.17918400000002</c:v>
                      </c:pt>
                      <c:pt idx="5">
                        <c:v>384.86940800000002</c:v>
                      </c:pt>
                      <c:pt idx="6">
                        <c:v>281.78393599999998</c:v>
                      </c:pt>
                      <c:pt idx="7">
                        <c:v>332.07152000000002</c:v>
                      </c:pt>
                      <c:pt idx="8">
                        <c:v>286.18310400000001</c:v>
                      </c:pt>
                      <c:pt idx="9">
                        <c:v>282.12097499999999</c:v>
                      </c:pt>
                      <c:pt idx="10">
                        <c:v>278.40797600000002</c:v>
                      </c:pt>
                      <c:pt idx="11">
                        <c:v>338.36403799999999</c:v>
                      </c:pt>
                      <c:pt idx="12">
                        <c:v>325.82918899999999</c:v>
                      </c:pt>
                      <c:pt idx="13">
                        <c:v>433.137812</c:v>
                      </c:pt>
                      <c:pt idx="14">
                        <c:v>436.91641600000003</c:v>
                      </c:pt>
                      <c:pt idx="15">
                        <c:v>512.90662499999996</c:v>
                      </c:pt>
                      <c:pt idx="16">
                        <c:v>868.24385199999995</c:v>
                      </c:pt>
                      <c:pt idx="17">
                        <c:v>1146.2366030000001</c:v>
                      </c:pt>
                      <c:pt idx="18">
                        <c:v>443.46851299999997</c:v>
                      </c:pt>
                      <c:pt idx="19">
                        <c:v>324.97551399999998</c:v>
                      </c:pt>
                      <c:pt idx="20">
                        <c:v>439.93325199999998</c:v>
                      </c:pt>
                      <c:pt idx="21">
                        <c:v>289.56223799999998</c:v>
                      </c:pt>
                      <c:pt idx="22">
                        <c:v>496.93744700000002</c:v>
                      </c:pt>
                      <c:pt idx="23">
                        <c:v>1218.455066</c:v>
                      </c:pt>
                      <c:pt idx="24">
                        <c:v>1295.4892649999999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04'!$E$36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04'!$B$37:$B$61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04'!$E$37:$E$61</c:f>
              <c:numCache>
                <c:formatCode>0.00000000%</c:formatCode>
                <c:ptCount val="25"/>
                <c:pt idx="0">
                  <c:v>1.8465932195926785E-9</c:v>
                </c:pt>
                <c:pt idx="1">
                  <c:v>2.821302475891717E-9</c:v>
                </c:pt>
                <c:pt idx="2">
                  <c:v>1.891078503014376E-9</c:v>
                </c:pt>
                <c:pt idx="3">
                  <c:v>1.5287941014234541E-9</c:v>
                </c:pt>
                <c:pt idx="4">
                  <c:v>2.6793577400011572E-9</c:v>
                </c:pt>
                <c:pt idx="5">
                  <c:v>2.8009911741023165E-9</c:v>
                </c:pt>
                <c:pt idx="6">
                  <c:v>1.6732970099898198E-9</c:v>
                </c:pt>
                <c:pt idx="7">
                  <c:v>1.7984396372180362E-9</c:v>
                </c:pt>
                <c:pt idx="8">
                  <c:v>1.5681503128485672E-9</c:v>
                </c:pt>
                <c:pt idx="9">
                  <c:v>1.6228958858247334E-9</c:v>
                </c:pt>
                <c:pt idx="10">
                  <c:v>1.6418221935095041E-9</c:v>
                </c:pt>
                <c:pt idx="11">
                  <c:v>1.7524199223674189E-9</c:v>
                </c:pt>
                <c:pt idx="12">
                  <c:v>1.5988545267917614E-9</c:v>
                </c:pt>
                <c:pt idx="13">
                  <c:v>1.9650967046240665E-9</c:v>
                </c:pt>
                <c:pt idx="14">
                  <c:v>1.7132385465836526E-9</c:v>
                </c:pt>
                <c:pt idx="15">
                  <c:v>1.7709056527241211E-9</c:v>
                </c:pt>
                <c:pt idx="16">
                  <c:v>2.748768046150124E-9</c:v>
                </c:pt>
                <c:pt idx="17">
                  <c:v>3.2107959833446184E-9</c:v>
                </c:pt>
                <c:pt idx="18">
                  <c:v>1.0712738101167991E-9</c:v>
                </c:pt>
                <c:pt idx="19">
                  <c:v>6.8167749853417805E-10</c:v>
                </c:pt>
                <c:pt idx="20">
                  <c:v>9.7783525061463505E-10</c:v>
                </c:pt>
                <c:pt idx="21">
                  <c:v>5.8531934375123364E-10</c:v>
                </c:pt>
                <c:pt idx="22">
                  <c:v>8.4881809492565969E-10</c:v>
                </c:pt>
                <c:pt idx="23">
                  <c:v>2.0063166578422251E-9</c:v>
                </c:pt>
                <c:pt idx="24">
                  <c:v>2.007479359826495E-9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104344"/>
        <c:axId val="437103952"/>
      </c:lineChart>
      <c:catAx>
        <c:axId val="437103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3560"/>
        <c:crosses val="autoZero"/>
        <c:auto val="1"/>
        <c:lblAlgn val="ctr"/>
        <c:lblOffset val="100"/>
        <c:noMultiLvlLbl val="0"/>
      </c:catAx>
      <c:valAx>
        <c:axId val="43710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3168"/>
        <c:crosses val="autoZero"/>
        <c:crossBetween val="between"/>
      </c:valAx>
      <c:valAx>
        <c:axId val="437103952"/>
        <c:scaling>
          <c:orientation val="minMax"/>
          <c:max val="3.5000000000000016E-9"/>
          <c:min val="0"/>
        </c:scaling>
        <c:delete val="0"/>
        <c:axPos val="r"/>
        <c:numFmt formatCode="0.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4344"/>
        <c:crosses val="max"/>
        <c:crossBetween val="between"/>
        <c:majorUnit val="7.0000000000000037E-10"/>
      </c:valAx>
      <c:catAx>
        <c:axId val="437104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10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00'!$C$124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00'!$A$125:$A$149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0294648"/>
        <c:axId val="502694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00'!$B$124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(Precio CIF, 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00'!$A$125:$A$149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00'!$B$125:$B$149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2540.4969999999998</c:v>
                      </c:pt>
                      <c:pt idx="1">
                        <c:v>4566.83</c:v>
                      </c:pt>
                      <c:pt idx="2">
                        <c:v>5223.7889999999998</c:v>
                      </c:pt>
                      <c:pt idx="3">
                        <c:v>6507.5139999999992</c:v>
                      </c:pt>
                      <c:pt idx="4">
                        <c:v>6083.8649999999998</c:v>
                      </c:pt>
                      <c:pt idx="5">
                        <c:v>7333.5839999999998</c:v>
                      </c:pt>
                      <c:pt idx="6">
                        <c:v>4910.7460000000001</c:v>
                      </c:pt>
                      <c:pt idx="7">
                        <c:v>4482.2569999999996</c:v>
                      </c:pt>
                      <c:pt idx="8">
                        <c:v>5171.7209999999995</c:v>
                      </c:pt>
                      <c:pt idx="9">
                        <c:v>4215.1030000000001</c:v>
                      </c:pt>
                      <c:pt idx="10">
                        <c:v>5415.96</c:v>
                      </c:pt>
                      <c:pt idx="11">
                        <c:v>4732.808</c:v>
                      </c:pt>
                      <c:pt idx="12">
                        <c:v>5663.1210000000001</c:v>
                      </c:pt>
                      <c:pt idx="13">
                        <c:v>4389.7089999999998</c:v>
                      </c:pt>
                      <c:pt idx="14">
                        <c:v>7225.616</c:v>
                      </c:pt>
                      <c:pt idx="15">
                        <c:v>5723.2109999999993</c:v>
                      </c:pt>
                      <c:pt idx="16">
                        <c:v>6859.4070000000002</c:v>
                      </c:pt>
                      <c:pt idx="17">
                        <c:v>6625.7110000000002</c:v>
                      </c:pt>
                      <c:pt idx="18">
                        <c:v>6371.5590000000002</c:v>
                      </c:pt>
                      <c:pt idx="19">
                        <c:v>2417.3989999999999</c:v>
                      </c:pt>
                      <c:pt idx="20">
                        <c:v>2584.27</c:v>
                      </c:pt>
                      <c:pt idx="21">
                        <c:v>2790.105</c:v>
                      </c:pt>
                      <c:pt idx="22">
                        <c:v>3056.1419999999998</c:v>
                      </c:pt>
                      <c:pt idx="23">
                        <c:v>2954.5349999999999</c:v>
                      </c:pt>
                      <c:pt idx="24">
                        <c:v>2854.0149999999999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00'!$D$124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00'!$A$125:$A$149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00'!$D$125:$D$149</c:f>
              <c:numCache>
                <c:formatCode>0.0000%</c:formatCode>
                <c:ptCount val="25"/>
                <c:pt idx="0">
                  <c:v>6.1603410199558687E-5</c:v>
                </c:pt>
                <c:pt idx="1">
                  <c:v>9.2671843058189443E-5</c:v>
                </c:pt>
                <c:pt idx="2">
                  <c:v>9.3612028960457727E-5</c:v>
                </c:pt>
                <c:pt idx="3">
                  <c:v>7.9647925370209135E-5</c:v>
                </c:pt>
                <c:pt idx="4">
                  <c:v>6.5766339090333469E-5</c:v>
                </c:pt>
                <c:pt idx="5">
                  <c:v>7.5479369890024995E-5</c:v>
                </c:pt>
                <c:pt idx="6">
                  <c:v>4.6041333714751574E-5</c:v>
                </c:pt>
                <c:pt idx="7">
                  <c:v>4.5531151647803759E-5</c:v>
                </c:pt>
                <c:pt idx="8">
                  <c:v>6.0006400157043319E-5</c:v>
                </c:pt>
                <c:pt idx="9">
                  <c:v>4.2198893007542579E-5</c:v>
                </c:pt>
                <c:pt idx="10">
                  <c:v>5.5150351261917209E-5</c:v>
                </c:pt>
                <c:pt idx="11">
                  <c:v>4.832680545543754E-5</c:v>
                </c:pt>
                <c:pt idx="12">
                  <c:v>5.9810381437916773E-5</c:v>
                </c:pt>
                <c:pt idx="13">
                  <c:v>3.7494888255302764E-5</c:v>
                </c:pt>
                <c:pt idx="14">
                  <c:v>4.9299311375573319E-5</c:v>
                </c:pt>
                <c:pt idx="15">
                  <c:v>3.5200232839487046E-5</c:v>
                </c:pt>
                <c:pt idx="16">
                  <c:v>3.3070691951605762E-5</c:v>
                </c:pt>
                <c:pt idx="17">
                  <c:v>2.7156507893849033E-5</c:v>
                </c:pt>
                <c:pt idx="18">
                  <c:v>2.7249651348265423E-5</c:v>
                </c:pt>
                <c:pt idx="19">
                  <c:v>8.4224593750144952E-6</c:v>
                </c:pt>
                <c:pt idx="20">
                  <c:v>7.7046905852694176E-6</c:v>
                </c:pt>
                <c:pt idx="21">
                  <c:v>7.5477662216510593E-6</c:v>
                </c:pt>
                <c:pt idx="22">
                  <c:v>8.0384199290251736E-6</c:v>
                </c:pt>
                <c:pt idx="23">
                  <c:v>7.80763720265582E-6</c:v>
                </c:pt>
                <c:pt idx="24">
                  <c:v>9.7713416846540373E-6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695248"/>
        <c:axId val="502694856"/>
      </c:lineChart>
      <c:catAx>
        <c:axId val="500294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2694464"/>
        <c:crosses val="autoZero"/>
        <c:auto val="1"/>
        <c:lblAlgn val="ctr"/>
        <c:lblOffset val="100"/>
        <c:noMultiLvlLbl val="0"/>
      </c:catAx>
      <c:valAx>
        <c:axId val="50269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294648"/>
        <c:crosses val="autoZero"/>
        <c:crossBetween val="between"/>
        <c:majorUnit val="80000"/>
      </c:valAx>
      <c:valAx>
        <c:axId val="502694856"/>
        <c:scaling>
          <c:orientation val="minMax"/>
          <c:max val="1.0000000000000003E-4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2695248"/>
        <c:crosses val="max"/>
        <c:crossBetween val="between"/>
        <c:majorUnit val="2.0000000000000008E-5"/>
        <c:minorUnit val="2.0000000000000008E-5"/>
      </c:valAx>
      <c:catAx>
        <c:axId val="502695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2694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04'!$D$67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04'!$B$68:$B$92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04'!$D$68:$D$92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105128"/>
        <c:axId val="437105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04'!$C$67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04'!$B$68:$B$92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04'!$C$68:$C$92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62.641268000000004</c:v>
                      </c:pt>
                      <c:pt idx="1">
                        <c:v>110.05351999999999</c:v>
                      </c:pt>
                      <c:pt idx="2">
                        <c:v>106.85463299999999</c:v>
                      </c:pt>
                      <c:pt idx="3">
                        <c:v>133.013238</c:v>
                      </c:pt>
                      <c:pt idx="4">
                        <c:v>266.86911200000003</c:v>
                      </c:pt>
                      <c:pt idx="5">
                        <c:v>388.81003000000004</c:v>
                      </c:pt>
                      <c:pt idx="6">
                        <c:v>285.09615199999996</c:v>
                      </c:pt>
                      <c:pt idx="7">
                        <c:v>335.98686500000002</c:v>
                      </c:pt>
                      <c:pt idx="8">
                        <c:v>291.58306800000003</c:v>
                      </c:pt>
                      <c:pt idx="9">
                        <c:v>287.51348400000001</c:v>
                      </c:pt>
                      <c:pt idx="10">
                        <c:v>288.52642600000001</c:v>
                      </c:pt>
                      <c:pt idx="11">
                        <c:v>351.76889499999999</c:v>
                      </c:pt>
                      <c:pt idx="12">
                        <c:v>338.55611199999998</c:v>
                      </c:pt>
                      <c:pt idx="13">
                        <c:v>447.68242700000002</c:v>
                      </c:pt>
                      <c:pt idx="14">
                        <c:v>455.57352000000003</c:v>
                      </c:pt>
                      <c:pt idx="15">
                        <c:v>535.51750799999991</c:v>
                      </c:pt>
                      <c:pt idx="16">
                        <c:v>888.51230199999998</c:v>
                      </c:pt>
                      <c:pt idx="17">
                        <c:v>1168.5538710000001</c:v>
                      </c:pt>
                      <c:pt idx="18">
                        <c:v>469.49337399999996</c:v>
                      </c:pt>
                      <c:pt idx="19">
                        <c:v>349.00295799999998</c:v>
                      </c:pt>
                      <c:pt idx="20">
                        <c:v>461.22297900000001</c:v>
                      </c:pt>
                      <c:pt idx="21">
                        <c:v>312.25169899999997</c:v>
                      </c:pt>
                      <c:pt idx="22">
                        <c:v>521.40771200000006</c:v>
                      </c:pt>
                      <c:pt idx="23">
                        <c:v>1250.1815240000001</c:v>
                      </c:pt>
                      <c:pt idx="24">
                        <c:v>1326.2938319999998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04'!$E$67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04'!$B$68:$B$92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04'!$E$68:$E$92</c:f>
              <c:numCache>
                <c:formatCode>0.00000000%</c:formatCode>
                <c:ptCount val="25"/>
                <c:pt idx="0">
                  <c:v>1.0140511884750172E-8</c:v>
                </c:pt>
                <c:pt idx="1">
                  <c:v>1.497376511546778E-8</c:v>
                </c:pt>
                <c:pt idx="2">
                  <c:v>9.8640302615511707E-9</c:v>
                </c:pt>
                <c:pt idx="3">
                  <c:v>8.0503008999824845E-9</c:v>
                </c:pt>
                <c:pt idx="4">
                  <c:v>1.3688644896073261E-8</c:v>
                </c:pt>
                <c:pt idx="5">
                  <c:v>1.4148350580678743E-8</c:v>
                </c:pt>
                <c:pt idx="6">
                  <c:v>8.4648285042977608E-9</c:v>
                </c:pt>
                <c:pt idx="7">
                  <c:v>9.098222208285512E-9</c:v>
                </c:pt>
                <c:pt idx="8">
                  <c:v>7.9886980208577422E-9</c:v>
                </c:pt>
                <c:pt idx="9">
                  <c:v>8.2695809891968386E-9</c:v>
                </c:pt>
                <c:pt idx="10">
                  <c:v>8.5074626170332419E-9</c:v>
                </c:pt>
                <c:pt idx="11">
                  <c:v>9.1092248353409918E-9</c:v>
                </c:pt>
                <c:pt idx="12">
                  <c:v>8.3065297787703502E-9</c:v>
                </c:pt>
                <c:pt idx="13">
                  <c:v>1.0155419795302983E-8</c:v>
                </c:pt>
                <c:pt idx="14">
                  <c:v>8.9319843187901489E-9</c:v>
                </c:pt>
                <c:pt idx="15">
                  <c:v>9.2448696880249369E-9</c:v>
                </c:pt>
                <c:pt idx="16">
                  <c:v>1.4064679057173957E-8</c:v>
                </c:pt>
                <c:pt idx="17">
                  <c:v>1.6366551484696415E-8</c:v>
                </c:pt>
                <c:pt idx="18">
                  <c:v>5.670706497143928E-9</c:v>
                </c:pt>
                <c:pt idx="19">
                  <c:v>3.6603906008510657E-9</c:v>
                </c:pt>
                <c:pt idx="20">
                  <c:v>5.1257785721968288E-9</c:v>
                </c:pt>
                <c:pt idx="21">
                  <c:v>3.1559184099117189E-9</c:v>
                </c:pt>
                <c:pt idx="22">
                  <c:v>4.4530785861604334E-9</c:v>
                </c:pt>
                <c:pt idx="23">
                  <c:v>1.0292788330561957E-8</c:v>
                </c:pt>
                <c:pt idx="24">
                  <c:v>1.0276069299598514E-8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106304"/>
        <c:axId val="437105912"/>
      </c:lineChart>
      <c:catAx>
        <c:axId val="4371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5520"/>
        <c:crosses val="autoZero"/>
        <c:auto val="1"/>
        <c:lblAlgn val="ctr"/>
        <c:lblOffset val="100"/>
        <c:noMultiLvlLbl val="0"/>
      </c:catAx>
      <c:valAx>
        <c:axId val="4371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5128"/>
        <c:crosses val="autoZero"/>
        <c:crossBetween val="between"/>
      </c:valAx>
      <c:valAx>
        <c:axId val="437105912"/>
        <c:scaling>
          <c:orientation val="minMax"/>
          <c:max val="2.000000000000001E-8"/>
        </c:scaling>
        <c:delete val="0"/>
        <c:axPos val="r"/>
        <c:numFmt formatCode="0.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06304"/>
        <c:crosses val="max"/>
        <c:crossBetween val="between"/>
        <c:majorUnit val="4.0000000000000019E-9"/>
      </c:valAx>
      <c:catAx>
        <c:axId val="4371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105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05'!$B$1</c:f>
              <c:strCache>
                <c:ptCount val="1"/>
                <c:pt idx="0">
                  <c:v>Exportaciones  de Colombia a USA (US$ millones)</c:v>
                </c:pt>
              </c:strCache>
            </c:strRef>
          </c:tx>
          <c:invertIfNegative val="0"/>
          <c:cat>
            <c:numRef>
              <c:f>'Export 05'!$A$2:$A$26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05'!$B$2:$B$26</c:f>
              <c:numCache>
                <c:formatCode>0.0</c:formatCode>
                <c:ptCount val="25"/>
                <c:pt idx="0">
                  <c:v>175.03537600000001</c:v>
                </c:pt>
                <c:pt idx="1">
                  <c:v>158.547056</c:v>
                </c:pt>
                <c:pt idx="2">
                  <c:v>210.10672</c:v>
                </c:pt>
                <c:pt idx="3">
                  <c:v>243.64107200000001</c:v>
                </c:pt>
                <c:pt idx="4">
                  <c:v>177.53075200000001</c:v>
                </c:pt>
                <c:pt idx="5">
                  <c:v>149.02027200000001</c:v>
                </c:pt>
                <c:pt idx="6">
                  <c:v>183.25291200000001</c:v>
                </c:pt>
                <c:pt idx="7">
                  <c:v>160.56084799999999</c:v>
                </c:pt>
                <c:pt idx="8">
                  <c:v>233.62775999999999</c:v>
                </c:pt>
                <c:pt idx="9">
                  <c:v>205.67479800000001</c:v>
                </c:pt>
                <c:pt idx="10">
                  <c:v>180.33841799999999</c:v>
                </c:pt>
                <c:pt idx="11">
                  <c:v>188.665188</c:v>
                </c:pt>
                <c:pt idx="12">
                  <c:v>177.883725</c:v>
                </c:pt>
                <c:pt idx="13">
                  <c:v>170.255897</c:v>
                </c:pt>
                <c:pt idx="14">
                  <c:v>209.21320399999999</c:v>
                </c:pt>
                <c:pt idx="15">
                  <c:v>205.68426400000001</c:v>
                </c:pt>
                <c:pt idx="16">
                  <c:v>179.43127200000001</c:v>
                </c:pt>
                <c:pt idx="17">
                  <c:v>208.32001099999999</c:v>
                </c:pt>
                <c:pt idx="18">
                  <c:v>292.94803100000001</c:v>
                </c:pt>
                <c:pt idx="19">
                  <c:v>265.840957</c:v>
                </c:pt>
                <c:pt idx="20">
                  <c:v>233.95684900000001</c:v>
                </c:pt>
                <c:pt idx="21">
                  <c:v>268.91415699999999</c:v>
                </c:pt>
                <c:pt idx="22">
                  <c:v>242.415783</c:v>
                </c:pt>
                <c:pt idx="23">
                  <c:v>266.42256800000001</c:v>
                </c:pt>
                <c:pt idx="24">
                  <c:v>209.47781000000001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107088"/>
        <c:axId val="437107480"/>
      </c:barChart>
      <c:catAx>
        <c:axId val="43710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37107480"/>
        <c:crosses val="autoZero"/>
        <c:auto val="1"/>
        <c:lblAlgn val="ctr"/>
        <c:lblOffset val="100"/>
        <c:noMultiLvlLbl val="0"/>
      </c:catAx>
      <c:valAx>
        <c:axId val="437107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 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3710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05'!$A$2:$A$26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05'!$B$2:$B$26</c:f>
              <c:numCache>
                <c:formatCode>0.0</c:formatCode>
                <c:ptCount val="25"/>
                <c:pt idx="0">
                  <c:v>11.072051</c:v>
                </c:pt>
                <c:pt idx="1">
                  <c:v>14.555948000000001</c:v>
                </c:pt>
                <c:pt idx="2">
                  <c:v>8.8777670000000004</c:v>
                </c:pt>
                <c:pt idx="3">
                  <c:v>30.067668000000001</c:v>
                </c:pt>
                <c:pt idx="4">
                  <c:v>30.092663999999999</c:v>
                </c:pt>
                <c:pt idx="5">
                  <c:v>26.35585</c:v>
                </c:pt>
                <c:pt idx="6">
                  <c:v>33.721240000000002</c:v>
                </c:pt>
                <c:pt idx="7">
                  <c:v>28.083924</c:v>
                </c:pt>
                <c:pt idx="8">
                  <c:v>23.445456</c:v>
                </c:pt>
                <c:pt idx="9">
                  <c:v>22.130406000000001</c:v>
                </c:pt>
                <c:pt idx="10">
                  <c:v>17.19295</c:v>
                </c:pt>
                <c:pt idx="11">
                  <c:v>16.889787999999999</c:v>
                </c:pt>
                <c:pt idx="12">
                  <c:v>14.306723</c:v>
                </c:pt>
                <c:pt idx="13">
                  <c:v>16.921779000000001</c:v>
                </c:pt>
                <c:pt idx="14">
                  <c:v>22.815715000000001</c:v>
                </c:pt>
                <c:pt idx="15">
                  <c:v>25.711245000000002</c:v>
                </c:pt>
                <c:pt idx="16">
                  <c:v>37.885289</c:v>
                </c:pt>
                <c:pt idx="17">
                  <c:v>41.289866000000004</c:v>
                </c:pt>
                <c:pt idx="18">
                  <c:v>54.413074000000002</c:v>
                </c:pt>
                <c:pt idx="19">
                  <c:v>50.402794</c:v>
                </c:pt>
                <c:pt idx="20">
                  <c:v>73.516311000000002</c:v>
                </c:pt>
                <c:pt idx="21">
                  <c:v>92.507591000000005</c:v>
                </c:pt>
                <c:pt idx="22">
                  <c:v>115.993036</c:v>
                </c:pt>
                <c:pt idx="23">
                  <c:v>142.43887699999999</c:v>
                </c:pt>
                <c:pt idx="24">
                  <c:v>129.08264399999999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108264"/>
        <c:axId val="437108656"/>
      </c:lineChart>
      <c:catAx>
        <c:axId val="437108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37108656"/>
        <c:crosses val="autoZero"/>
        <c:auto val="1"/>
        <c:lblAlgn val="ctr"/>
        <c:lblOffset val="100"/>
        <c:noMultiLvlLbl val="0"/>
      </c:catAx>
      <c:valAx>
        <c:axId val="43710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37108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05'!$A$2:$A$26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05'!$B$2:$B$26</c:f>
              <c:numCache>
                <c:formatCode>[$$-409]#,##0.0</c:formatCode>
                <c:ptCount val="25"/>
                <c:pt idx="0">
                  <c:v>163.96332500000003</c:v>
                </c:pt>
                <c:pt idx="1">
                  <c:v>143.991108</c:v>
                </c:pt>
                <c:pt idx="2">
                  <c:v>201.22895299999999</c:v>
                </c:pt>
                <c:pt idx="3">
                  <c:v>213.57340400000001</c:v>
                </c:pt>
                <c:pt idx="4">
                  <c:v>147.43808799999999</c:v>
                </c:pt>
                <c:pt idx="5">
                  <c:v>122.664422</c:v>
                </c:pt>
                <c:pt idx="6">
                  <c:v>149.53167200000001</c:v>
                </c:pt>
                <c:pt idx="7">
                  <c:v>132.476924</c:v>
                </c:pt>
                <c:pt idx="8">
                  <c:v>210.18230399999999</c:v>
                </c:pt>
                <c:pt idx="9">
                  <c:v>183.54439200000002</c:v>
                </c:pt>
                <c:pt idx="10">
                  <c:v>163.14546799999999</c:v>
                </c:pt>
                <c:pt idx="11">
                  <c:v>171.77539999999999</c:v>
                </c:pt>
                <c:pt idx="12">
                  <c:v>163.57700199999999</c:v>
                </c:pt>
                <c:pt idx="13">
                  <c:v>153.33411799999999</c:v>
                </c:pt>
                <c:pt idx="14">
                  <c:v>186.39748899999998</c:v>
                </c:pt>
                <c:pt idx="15">
                  <c:v>179.97301900000002</c:v>
                </c:pt>
                <c:pt idx="16">
                  <c:v>141.54598300000001</c:v>
                </c:pt>
                <c:pt idx="17">
                  <c:v>167.030145</c:v>
                </c:pt>
                <c:pt idx="18">
                  <c:v>238.53495700000002</c:v>
                </c:pt>
                <c:pt idx="19">
                  <c:v>215.438163</c:v>
                </c:pt>
                <c:pt idx="20">
                  <c:v>160.440538</c:v>
                </c:pt>
                <c:pt idx="21">
                  <c:v>176.406566</c:v>
                </c:pt>
                <c:pt idx="22">
                  <c:v>126.422747</c:v>
                </c:pt>
                <c:pt idx="23">
                  <c:v>123.98369100000002</c:v>
                </c:pt>
                <c:pt idx="24">
                  <c:v>80.395166000000017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109440"/>
        <c:axId val="437109832"/>
      </c:lineChart>
      <c:catAx>
        <c:axId val="43710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37109832"/>
        <c:crosses val="autoZero"/>
        <c:auto val="1"/>
        <c:lblAlgn val="ctr"/>
        <c:lblOffset val="100"/>
        <c:noMultiLvlLbl val="0"/>
      </c:catAx>
      <c:valAx>
        <c:axId val="437109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[$$-409]#,##0.0" sourceLinked="1"/>
        <c:majorTickMark val="out"/>
        <c:minorTickMark val="none"/>
        <c:tickLblPos val="nextTo"/>
        <c:crossAx val="437109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05'!$C$6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05'!$A$7:$A$31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111008"/>
        <c:axId val="451571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05'!$B$6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05'!$A$7:$A$31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05'!$B$7:$B$31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175.03537600000001</c:v>
                      </c:pt>
                      <c:pt idx="1">
                        <c:v>158.547056</c:v>
                      </c:pt>
                      <c:pt idx="2">
                        <c:v>210.10672</c:v>
                      </c:pt>
                      <c:pt idx="3">
                        <c:v>243.64107200000001</c:v>
                      </c:pt>
                      <c:pt idx="4">
                        <c:v>177.53075200000001</c:v>
                      </c:pt>
                      <c:pt idx="5">
                        <c:v>149.02027200000001</c:v>
                      </c:pt>
                      <c:pt idx="6">
                        <c:v>183.25291200000001</c:v>
                      </c:pt>
                      <c:pt idx="7">
                        <c:v>160.56084799999999</c:v>
                      </c:pt>
                      <c:pt idx="8">
                        <c:v>233.62775999999999</c:v>
                      </c:pt>
                      <c:pt idx="9">
                        <c:v>205.67479800000001</c:v>
                      </c:pt>
                      <c:pt idx="10">
                        <c:v>180.33841799999999</c:v>
                      </c:pt>
                      <c:pt idx="11">
                        <c:v>188.665188</c:v>
                      </c:pt>
                      <c:pt idx="12">
                        <c:v>177.883725</c:v>
                      </c:pt>
                      <c:pt idx="13">
                        <c:v>170.255897</c:v>
                      </c:pt>
                      <c:pt idx="14">
                        <c:v>209.21320399999999</c:v>
                      </c:pt>
                      <c:pt idx="15">
                        <c:v>205.68426400000001</c:v>
                      </c:pt>
                      <c:pt idx="16">
                        <c:v>179.43127200000001</c:v>
                      </c:pt>
                      <c:pt idx="17">
                        <c:v>208.32001099999999</c:v>
                      </c:pt>
                      <c:pt idx="18">
                        <c:v>292.94803100000001</c:v>
                      </c:pt>
                      <c:pt idx="19">
                        <c:v>265.840957</c:v>
                      </c:pt>
                      <c:pt idx="20">
                        <c:v>233.95684900000001</c:v>
                      </c:pt>
                      <c:pt idx="21">
                        <c:v>268.91415699999999</c:v>
                      </c:pt>
                      <c:pt idx="22">
                        <c:v>242.415783</c:v>
                      </c:pt>
                      <c:pt idx="23">
                        <c:v>266.42256800000001</c:v>
                      </c:pt>
                      <c:pt idx="24">
                        <c:v>209.47781000000001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05'!$D$6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05'!$A$7:$A$31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05'!$D$7:$D$31</c:f>
              <c:numCache>
                <c:formatCode>0.00000%</c:formatCode>
                <c:ptCount val="25"/>
                <c:pt idx="0">
                  <c:v>4.2443569377023435E-5</c:v>
                </c:pt>
                <c:pt idx="1">
                  <c:v>3.2172968757256072E-5</c:v>
                </c:pt>
                <c:pt idx="2">
                  <c:v>3.7651820081987964E-5</c:v>
                </c:pt>
                <c:pt idx="3">
                  <c:v>2.9820152395790088E-5</c:v>
                </c:pt>
                <c:pt idx="4">
                  <c:v>1.9191003802671326E-5</c:v>
                </c:pt>
                <c:pt idx="5">
                  <c:v>1.5337597866745829E-5</c:v>
                </c:pt>
                <c:pt idx="6">
                  <c:v>1.7181113573359329E-5</c:v>
                </c:pt>
                <c:pt idx="7">
                  <c:v>1.6309908867313877E-5</c:v>
                </c:pt>
                <c:pt idx="8">
                  <c:v>2.7107341742436761E-5</c:v>
                </c:pt>
                <c:pt idx="9">
                  <c:v>2.059083442361891E-5</c:v>
                </c:pt>
                <c:pt idx="10">
                  <c:v>1.8363738097619723E-5</c:v>
                </c:pt>
                <c:pt idx="11">
                  <c:v>1.926464339286435E-5</c:v>
                </c:pt>
                <c:pt idx="12">
                  <c:v>1.8786978847613342E-5</c:v>
                </c:pt>
                <c:pt idx="13">
                  <c:v>1.4542480681114254E-5</c:v>
                </c:pt>
                <c:pt idx="14">
                  <c:v>1.4274308083736171E-5</c:v>
                </c:pt>
                <c:pt idx="15">
                  <c:v>1.2650475378626657E-5</c:v>
                </c:pt>
                <c:pt idx="16">
                  <c:v>8.6507715940995826E-6</c:v>
                </c:pt>
                <c:pt idx="17">
                  <c:v>8.538319922447895E-6</c:v>
                </c:pt>
                <c:pt idx="18">
                  <c:v>1.252869463801693E-5</c:v>
                </c:pt>
                <c:pt idx="19">
                  <c:v>9.2621642540080292E-6</c:v>
                </c:pt>
                <c:pt idx="20">
                  <c:v>6.9751424264863916E-6</c:v>
                </c:pt>
                <c:pt idx="21">
                  <c:v>7.2746408853013402E-6</c:v>
                </c:pt>
                <c:pt idx="22">
                  <c:v>6.3761430626503684E-6</c:v>
                </c:pt>
                <c:pt idx="23">
                  <c:v>7.0404674628796078E-6</c:v>
                </c:pt>
                <c:pt idx="24">
                  <c:v>7.1719288681490405E-6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72408"/>
        <c:axId val="451572016"/>
      </c:lineChart>
      <c:catAx>
        <c:axId val="43711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1624"/>
        <c:crosses val="autoZero"/>
        <c:auto val="1"/>
        <c:lblAlgn val="ctr"/>
        <c:lblOffset val="100"/>
        <c:noMultiLvlLbl val="0"/>
      </c:catAx>
      <c:valAx>
        <c:axId val="4515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Millones de 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11008"/>
        <c:crosses val="autoZero"/>
        <c:crossBetween val="between"/>
      </c:valAx>
      <c:valAx>
        <c:axId val="4515720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Exportaciones</a:t>
                </a:r>
                <a:r>
                  <a:rPr lang="es-CO" b="1" baseline="0"/>
                  <a:t>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2408"/>
        <c:crosses val="max"/>
        <c:crossBetween val="between"/>
      </c:valAx>
      <c:catAx>
        <c:axId val="451572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72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05'!$C$65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'Apertura 05'!$A$66:$A$90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73192"/>
        <c:axId val="451573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05'!$B$65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millones)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05'!$A$66:$A$90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05'!$B$66:$B$90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11.072051</c:v>
                      </c:pt>
                      <c:pt idx="1">
                        <c:v>14.555948000000001</c:v>
                      </c:pt>
                      <c:pt idx="2">
                        <c:v>8.8777670000000004</c:v>
                      </c:pt>
                      <c:pt idx="3">
                        <c:v>30.067668000000001</c:v>
                      </c:pt>
                      <c:pt idx="4">
                        <c:v>30.092663999999999</c:v>
                      </c:pt>
                      <c:pt idx="5">
                        <c:v>26.35585</c:v>
                      </c:pt>
                      <c:pt idx="6">
                        <c:v>33.721240000000002</c:v>
                      </c:pt>
                      <c:pt idx="7">
                        <c:v>28.083924</c:v>
                      </c:pt>
                      <c:pt idx="8">
                        <c:v>23.445456</c:v>
                      </c:pt>
                      <c:pt idx="9">
                        <c:v>22.130406000000001</c:v>
                      </c:pt>
                      <c:pt idx="10">
                        <c:v>17.19295</c:v>
                      </c:pt>
                      <c:pt idx="11">
                        <c:v>16.889787999999999</c:v>
                      </c:pt>
                      <c:pt idx="12">
                        <c:v>14.306723</c:v>
                      </c:pt>
                      <c:pt idx="13">
                        <c:v>16.921779000000001</c:v>
                      </c:pt>
                      <c:pt idx="14">
                        <c:v>22.815715000000001</c:v>
                      </c:pt>
                      <c:pt idx="15">
                        <c:v>25.711245000000002</c:v>
                      </c:pt>
                      <c:pt idx="16">
                        <c:v>37.885289</c:v>
                      </c:pt>
                      <c:pt idx="17">
                        <c:v>41.289866000000004</c:v>
                      </c:pt>
                      <c:pt idx="18">
                        <c:v>54.413074000000002</c:v>
                      </c:pt>
                      <c:pt idx="19">
                        <c:v>50.402794</c:v>
                      </c:pt>
                      <c:pt idx="20">
                        <c:v>73.516311000000002</c:v>
                      </c:pt>
                      <c:pt idx="21">
                        <c:v>92.507591000000005</c:v>
                      </c:pt>
                      <c:pt idx="22">
                        <c:v>115.993036</c:v>
                      </c:pt>
                      <c:pt idx="23">
                        <c:v>142.43887699999999</c:v>
                      </c:pt>
                      <c:pt idx="24">
                        <c:v>129.08264399999999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05'!$D$65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05'!$A$66:$A$90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05'!$D$66:$D$90</c:f>
              <c:numCache>
                <c:formatCode>0.000000%</c:formatCode>
                <c:ptCount val="25"/>
                <c:pt idx="0">
                  <c:v>1.7933226250610825E-7</c:v>
                </c:pt>
                <c:pt idx="1">
                  <c:v>2.2259187108587632E-7</c:v>
                </c:pt>
                <c:pt idx="2">
                  <c:v>1.290613599801591E-7</c:v>
                </c:pt>
                <c:pt idx="3">
                  <c:v>4.113924738207807E-7</c:v>
                </c:pt>
                <c:pt idx="4">
                  <c:v>3.9264650850854503E-7</c:v>
                </c:pt>
                <c:pt idx="5">
                  <c:v>3.2537279013199798E-7</c:v>
                </c:pt>
                <c:pt idx="6">
                  <c:v>3.917195939137006E-7</c:v>
                </c:pt>
                <c:pt idx="7">
                  <c:v>3.0898234029781384E-7</c:v>
                </c:pt>
                <c:pt idx="8">
                  <c:v>2.4269090692278264E-7</c:v>
                </c:pt>
                <c:pt idx="9">
                  <c:v>2.1517629109969209E-7</c:v>
                </c:pt>
                <c:pt idx="10">
                  <c:v>1.6186438412084404E-7</c:v>
                </c:pt>
                <c:pt idx="11">
                  <c:v>1.5385804108289E-7</c:v>
                </c:pt>
                <c:pt idx="12">
                  <c:v>1.2429096655537861E-7</c:v>
                </c:pt>
                <c:pt idx="13">
                  <c:v>1.378564420092729E-7</c:v>
                </c:pt>
                <c:pt idx="14">
                  <c:v>1.7424921676228752E-7</c:v>
                </c:pt>
                <c:pt idx="15">
                  <c:v>1.8556187088117339E-7</c:v>
                </c:pt>
                <c:pt idx="16">
                  <c:v>2.6168147629084444E-7</c:v>
                </c:pt>
                <c:pt idx="17">
                  <c:v>2.8052883083438339E-7</c:v>
                </c:pt>
                <c:pt idx="18">
                  <c:v>3.7737748079079597E-7</c:v>
                </c:pt>
                <c:pt idx="19">
                  <c:v>3.3681863829634819E-7</c:v>
                </c:pt>
                <c:pt idx="20">
                  <c:v>4.7375088011116951E-7</c:v>
                </c:pt>
                <c:pt idx="21">
                  <c:v>5.7261609921972764E-7</c:v>
                </c:pt>
                <c:pt idx="22">
                  <c:v>6.9610467642391968E-7</c:v>
                </c:pt>
                <c:pt idx="23">
                  <c:v>8.2106461804702625E-7</c:v>
                </c:pt>
                <c:pt idx="24">
                  <c:v>7.1924373304590915E-7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74368"/>
        <c:axId val="451573976"/>
      </c:lineChart>
      <c:catAx>
        <c:axId val="451573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3584"/>
        <c:crosses val="autoZero"/>
        <c:auto val="1"/>
        <c:lblAlgn val="ctr"/>
        <c:lblOffset val="100"/>
        <c:noMultiLvlLbl val="0"/>
      </c:catAx>
      <c:valAx>
        <c:axId val="45157358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3192"/>
        <c:crosses val="autoZero"/>
        <c:crossBetween val="between"/>
      </c:valAx>
      <c:valAx>
        <c:axId val="4515739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3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4368"/>
        <c:crosses val="max"/>
        <c:crossBetween val="between"/>
      </c:valAx>
      <c:catAx>
        <c:axId val="451574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73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05'!$C$35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05'!$A$36:$A$60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75152"/>
        <c:axId val="451575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05'!$B$35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05'!$A$36:$A$60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05'!$B$36:$B$60</c15:sqref>
                        </c15:formulaRef>
                      </c:ext>
                    </c:extLst>
                    <c:numCache>
                      <c:formatCode>0.00</c:formatCode>
                      <c:ptCount val="25"/>
                      <c:pt idx="0">
                        <c:v>11.072051</c:v>
                      </c:pt>
                      <c:pt idx="1">
                        <c:v>14.555948000000001</c:v>
                      </c:pt>
                      <c:pt idx="2">
                        <c:v>8.8777670000000004</c:v>
                      </c:pt>
                      <c:pt idx="3">
                        <c:v>30.067668000000001</c:v>
                      </c:pt>
                      <c:pt idx="4">
                        <c:v>30.092663999999999</c:v>
                      </c:pt>
                      <c:pt idx="5">
                        <c:v>26.35585</c:v>
                      </c:pt>
                      <c:pt idx="6">
                        <c:v>33.721240000000002</c:v>
                      </c:pt>
                      <c:pt idx="7">
                        <c:v>28.083924</c:v>
                      </c:pt>
                      <c:pt idx="8">
                        <c:v>23.445456</c:v>
                      </c:pt>
                      <c:pt idx="9">
                        <c:v>22.130406000000001</c:v>
                      </c:pt>
                      <c:pt idx="10">
                        <c:v>17.19295</c:v>
                      </c:pt>
                      <c:pt idx="11">
                        <c:v>16.889787999999999</c:v>
                      </c:pt>
                      <c:pt idx="12">
                        <c:v>14.306723</c:v>
                      </c:pt>
                      <c:pt idx="13">
                        <c:v>16.921779000000001</c:v>
                      </c:pt>
                      <c:pt idx="14">
                        <c:v>22.815715000000001</c:v>
                      </c:pt>
                      <c:pt idx="15">
                        <c:v>25.711245000000002</c:v>
                      </c:pt>
                      <c:pt idx="16">
                        <c:v>37.885289</c:v>
                      </c:pt>
                      <c:pt idx="17">
                        <c:v>41.289866000000004</c:v>
                      </c:pt>
                      <c:pt idx="18">
                        <c:v>54.413074000000002</c:v>
                      </c:pt>
                      <c:pt idx="19">
                        <c:v>50.402794</c:v>
                      </c:pt>
                      <c:pt idx="20">
                        <c:v>73.516311000000002</c:v>
                      </c:pt>
                      <c:pt idx="21">
                        <c:v>92.507591000000005</c:v>
                      </c:pt>
                      <c:pt idx="22">
                        <c:v>115.993036</c:v>
                      </c:pt>
                      <c:pt idx="23">
                        <c:v>142.43887699999999</c:v>
                      </c:pt>
                      <c:pt idx="24">
                        <c:v>129.08264399999999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05'!$D$35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05'!$A$36:$A$60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05'!$D$36:$D$60</c:f>
              <c:numCache>
                <c:formatCode>0.0000%</c:formatCode>
                <c:ptCount val="25"/>
                <c:pt idx="0">
                  <c:v>2.684813638840882E-6</c:v>
                </c:pt>
                <c:pt idx="1">
                  <c:v>2.9537480673008777E-6</c:v>
                </c:pt>
                <c:pt idx="2">
                  <c:v>1.5909252489106968E-6</c:v>
                </c:pt>
                <c:pt idx="3">
                  <c:v>3.6800956201096547E-6</c:v>
                </c:pt>
                <c:pt idx="4">
                  <c:v>3.2530050301173198E-6</c:v>
                </c:pt>
                <c:pt idx="5">
                  <c:v>2.7126203925884193E-6</c:v>
                </c:pt>
                <c:pt idx="6">
                  <c:v>3.1615784325135722E-6</c:v>
                </c:pt>
                <c:pt idx="7">
                  <c:v>2.8527891250086633E-6</c:v>
                </c:pt>
                <c:pt idx="8">
                  <c:v>2.7203273622075751E-6</c:v>
                </c:pt>
                <c:pt idx="9">
                  <c:v>2.2155535345339804E-6</c:v>
                </c:pt>
                <c:pt idx="10">
                  <c:v>1.7507463713332069E-6</c:v>
                </c:pt>
                <c:pt idx="11">
                  <c:v>1.7246199272389327E-6</c:v>
                </c:pt>
                <c:pt idx="12">
                  <c:v>1.5109875981046794E-6</c:v>
                </c:pt>
                <c:pt idx="13">
                  <c:v>1.4453810325147499E-6</c:v>
                </c:pt>
                <c:pt idx="14">
                  <c:v>1.5566825555652816E-6</c:v>
                </c:pt>
                <c:pt idx="15">
                  <c:v>1.5813532134200489E-6</c:v>
                </c:pt>
                <c:pt idx="16">
                  <c:v>1.8265321215326022E-6</c:v>
                </c:pt>
                <c:pt idx="17">
                  <c:v>1.6923294299509423E-6</c:v>
                </c:pt>
                <c:pt idx="18">
                  <c:v>2.3271185204239124E-6</c:v>
                </c:pt>
                <c:pt idx="19">
                  <c:v>1.756083645489323E-6</c:v>
                </c:pt>
                <c:pt idx="20">
                  <c:v>2.1918005054635874E-6</c:v>
                </c:pt>
                <c:pt idx="21">
                  <c:v>2.50250678951549E-6</c:v>
                </c:pt>
                <c:pt idx="22">
                  <c:v>3.0509077530119168E-6</c:v>
                </c:pt>
                <c:pt idx="23">
                  <c:v>3.7640815734784542E-6</c:v>
                </c:pt>
                <c:pt idx="24">
                  <c:v>4.4194253361757288E-6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76328"/>
        <c:axId val="451575936"/>
      </c:lineChart>
      <c:catAx>
        <c:axId val="451575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5544"/>
        <c:crosses val="autoZero"/>
        <c:auto val="1"/>
        <c:lblAlgn val="ctr"/>
        <c:lblOffset val="100"/>
        <c:noMultiLvlLbl val="0"/>
      </c:catAx>
      <c:valAx>
        <c:axId val="45157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 Millones de dólares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5152"/>
        <c:crosses val="autoZero"/>
        <c:crossBetween val="between"/>
      </c:valAx>
      <c:valAx>
        <c:axId val="4515759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6328"/>
        <c:crosses val="max"/>
        <c:crossBetween val="between"/>
      </c:valAx>
      <c:catAx>
        <c:axId val="451576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75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05'!$C$95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05'!$A$96:$A$120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77112"/>
        <c:axId val="451577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05'!$B$95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de Colombia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05'!$A$96:$A$120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05'!$B$96:$B$120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175.03537600000001</c:v>
                      </c:pt>
                      <c:pt idx="1">
                        <c:v>158.547056</c:v>
                      </c:pt>
                      <c:pt idx="2">
                        <c:v>210.10672</c:v>
                      </c:pt>
                      <c:pt idx="3">
                        <c:v>243.64107200000001</c:v>
                      </c:pt>
                      <c:pt idx="4">
                        <c:v>177.53075200000001</c:v>
                      </c:pt>
                      <c:pt idx="5">
                        <c:v>149.02027200000001</c:v>
                      </c:pt>
                      <c:pt idx="6">
                        <c:v>183.25291200000001</c:v>
                      </c:pt>
                      <c:pt idx="7">
                        <c:v>160.56084799999999</c:v>
                      </c:pt>
                      <c:pt idx="8">
                        <c:v>233.62775999999999</c:v>
                      </c:pt>
                      <c:pt idx="9">
                        <c:v>205.67479800000001</c:v>
                      </c:pt>
                      <c:pt idx="10">
                        <c:v>180.33841799999999</c:v>
                      </c:pt>
                      <c:pt idx="11">
                        <c:v>188.665188</c:v>
                      </c:pt>
                      <c:pt idx="12">
                        <c:v>177.883725</c:v>
                      </c:pt>
                      <c:pt idx="13">
                        <c:v>170.255897</c:v>
                      </c:pt>
                      <c:pt idx="14">
                        <c:v>209.21320399999999</c:v>
                      </c:pt>
                      <c:pt idx="15">
                        <c:v>205.68426400000001</c:v>
                      </c:pt>
                      <c:pt idx="16">
                        <c:v>179.43127200000001</c:v>
                      </c:pt>
                      <c:pt idx="17">
                        <c:v>208.32001099999999</c:v>
                      </c:pt>
                      <c:pt idx="18">
                        <c:v>292.94803100000001</c:v>
                      </c:pt>
                      <c:pt idx="19">
                        <c:v>265.840957</c:v>
                      </c:pt>
                      <c:pt idx="20">
                        <c:v>233.95684900000001</c:v>
                      </c:pt>
                      <c:pt idx="21">
                        <c:v>268.91415699999999</c:v>
                      </c:pt>
                      <c:pt idx="22">
                        <c:v>242.415783</c:v>
                      </c:pt>
                      <c:pt idx="23">
                        <c:v>266.42256800000001</c:v>
                      </c:pt>
                      <c:pt idx="24">
                        <c:v>209.47781000000001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05'!$D$95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05'!$A$96:$A$120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05'!$D$96:$D$120</c:f>
              <c:numCache>
                <c:formatCode>0.000000%</c:formatCode>
                <c:ptCount val="25"/>
                <c:pt idx="0">
                  <c:v>2.8350203586207616E-6</c:v>
                </c:pt>
                <c:pt idx="1">
                  <c:v>2.424526787963052E-6</c:v>
                </c:pt>
                <c:pt idx="2">
                  <c:v>3.0544459011112246E-6</c:v>
                </c:pt>
                <c:pt idx="3">
                  <c:v>3.3335509536165875E-6</c:v>
                </c:pt>
                <c:pt idx="4">
                  <c:v>2.3164060824158472E-6</c:v>
                </c:pt>
                <c:pt idx="5">
                  <c:v>1.8397107923618191E-6</c:v>
                </c:pt>
                <c:pt idx="6">
                  <c:v>2.1287401137129927E-6</c:v>
                </c:pt>
                <c:pt idx="7">
                  <c:v>1.7665076495450408E-6</c:v>
                </c:pt>
                <c:pt idx="8">
                  <c:v>2.4183506158608389E-6</c:v>
                </c:pt>
                <c:pt idx="9">
                  <c:v>1.999797934403841E-6</c:v>
                </c:pt>
                <c:pt idx="10">
                  <c:v>1.6978102630960556E-6</c:v>
                </c:pt>
                <c:pt idx="11">
                  <c:v>1.7186513084838698E-6</c:v>
                </c:pt>
                <c:pt idx="12">
                  <c:v>1.5453811550500535E-6</c:v>
                </c:pt>
                <c:pt idx="13">
                  <c:v>1.3870215532017787E-6</c:v>
                </c:pt>
                <c:pt idx="14">
                  <c:v>1.5978126012412355E-6</c:v>
                </c:pt>
                <c:pt idx="15">
                  <c:v>1.4844538581720638E-6</c:v>
                </c:pt>
                <c:pt idx="16">
                  <c:v>1.239368667603514E-6</c:v>
                </c:pt>
                <c:pt idx="17">
                  <c:v>1.4153538092188501E-6</c:v>
                </c:pt>
                <c:pt idx="18">
                  <c:v>2.031717413013718E-6</c:v>
                </c:pt>
                <c:pt idx="19">
                  <c:v>1.7764925718232613E-6</c:v>
                </c:pt>
                <c:pt idx="20">
                  <c:v>1.5076553980216171E-6</c:v>
                </c:pt>
                <c:pt idx="21">
                  <c:v>1.6645615126471233E-6</c:v>
                </c:pt>
                <c:pt idx="22">
                  <c:v>1.4548007880858133E-6</c:v>
                </c:pt>
                <c:pt idx="23">
                  <c:v>1.535747463341963E-6</c:v>
                </c:pt>
                <c:pt idx="24">
                  <c:v>1.1672026338001079E-6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78288"/>
        <c:axId val="451577896"/>
      </c:lineChart>
      <c:catAx>
        <c:axId val="451577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7504"/>
        <c:crosses val="autoZero"/>
        <c:auto val="1"/>
        <c:lblAlgn val="ctr"/>
        <c:lblOffset val="100"/>
        <c:noMultiLvlLbl val="0"/>
      </c:catAx>
      <c:valAx>
        <c:axId val="45157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7112"/>
        <c:crosses val="autoZero"/>
        <c:crossBetween val="between"/>
      </c:valAx>
      <c:valAx>
        <c:axId val="4515778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Importaciones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8288"/>
        <c:crosses val="max"/>
        <c:crossBetween val="between"/>
      </c:valAx>
      <c:catAx>
        <c:axId val="451578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77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05'!$C$124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05'!$A$125:$A$149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79072"/>
        <c:axId val="451579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05'!$B$124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05'!$A$125:$A$149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05'!$B$125:$B$149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186.107427</c:v>
                      </c:pt>
                      <c:pt idx="1">
                        <c:v>173.103004</c:v>
                      </c:pt>
                      <c:pt idx="2">
                        <c:v>218.984487</c:v>
                      </c:pt>
                      <c:pt idx="3">
                        <c:v>273.70874000000003</c:v>
                      </c:pt>
                      <c:pt idx="4">
                        <c:v>207.62341600000002</c:v>
                      </c:pt>
                      <c:pt idx="5">
                        <c:v>175.37612200000001</c:v>
                      </c:pt>
                      <c:pt idx="6">
                        <c:v>216.974152</c:v>
                      </c:pt>
                      <c:pt idx="7">
                        <c:v>188.64477199999999</c:v>
                      </c:pt>
                      <c:pt idx="8">
                        <c:v>257.073216</c:v>
                      </c:pt>
                      <c:pt idx="9">
                        <c:v>227.805204</c:v>
                      </c:pt>
                      <c:pt idx="10">
                        <c:v>197.53136799999999</c:v>
                      </c:pt>
                      <c:pt idx="11">
                        <c:v>205.55497600000001</c:v>
                      </c:pt>
                      <c:pt idx="12">
                        <c:v>192.190448</c:v>
                      </c:pt>
                      <c:pt idx="13">
                        <c:v>187.17767600000002</c:v>
                      </c:pt>
                      <c:pt idx="14">
                        <c:v>232.028919</c:v>
                      </c:pt>
                      <c:pt idx="15">
                        <c:v>231.395509</c:v>
                      </c:pt>
                      <c:pt idx="16">
                        <c:v>217.31656100000001</c:v>
                      </c:pt>
                      <c:pt idx="17">
                        <c:v>249.60987699999998</c:v>
                      </c:pt>
                      <c:pt idx="18">
                        <c:v>347.36110500000001</c:v>
                      </c:pt>
                      <c:pt idx="19">
                        <c:v>316.24375099999997</c:v>
                      </c:pt>
                      <c:pt idx="20">
                        <c:v>307.47316000000001</c:v>
                      </c:pt>
                      <c:pt idx="21">
                        <c:v>361.42174799999998</c:v>
                      </c:pt>
                      <c:pt idx="22">
                        <c:v>358.40881899999999</c:v>
                      </c:pt>
                      <c:pt idx="23">
                        <c:v>408.861445</c:v>
                      </c:pt>
                      <c:pt idx="24">
                        <c:v>338.56045399999999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05'!$D$124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05'!$A$125:$A$149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05'!$D$125:$D$149</c:f>
              <c:numCache>
                <c:formatCode>0.0000%</c:formatCode>
                <c:ptCount val="25"/>
                <c:pt idx="0">
                  <c:v>4.5128383015864317E-5</c:v>
                </c:pt>
                <c:pt idx="1">
                  <c:v>3.5126716824556949E-5</c:v>
                </c:pt>
                <c:pt idx="2">
                  <c:v>3.9242745330898665E-5</c:v>
                </c:pt>
                <c:pt idx="3">
                  <c:v>3.3500248015899743E-5</c:v>
                </c:pt>
                <c:pt idx="4">
                  <c:v>2.2444008832788647E-5</c:v>
                </c:pt>
                <c:pt idx="5">
                  <c:v>1.8050218259334249E-5</c:v>
                </c:pt>
                <c:pt idx="6">
                  <c:v>2.0342692005872899E-5</c:v>
                </c:pt>
                <c:pt idx="7">
                  <c:v>1.9162697992322541E-5</c:v>
                </c:pt>
                <c:pt idx="8">
                  <c:v>2.9827669104644338E-5</c:v>
                </c:pt>
                <c:pt idx="9">
                  <c:v>2.2806387958152886E-5</c:v>
                </c:pt>
                <c:pt idx="10">
                  <c:v>2.0114484468952932E-5</c:v>
                </c:pt>
                <c:pt idx="11">
                  <c:v>2.0989263320103273E-5</c:v>
                </c:pt>
                <c:pt idx="12">
                  <c:v>2.0297966445718022E-5</c:v>
                </c:pt>
                <c:pt idx="13">
                  <c:v>1.5987861713629005E-5</c:v>
                </c:pt>
                <c:pt idx="14">
                  <c:v>1.5830990639301455E-5</c:v>
                </c:pt>
                <c:pt idx="15">
                  <c:v>1.4231828592046706E-5</c:v>
                </c:pt>
                <c:pt idx="16">
                  <c:v>1.0477303715632186E-5</c:v>
                </c:pt>
                <c:pt idx="17">
                  <c:v>1.0230649352398838E-5</c:v>
                </c:pt>
                <c:pt idx="18">
                  <c:v>1.4855813158440843E-5</c:v>
                </c:pt>
                <c:pt idx="19">
                  <c:v>1.1018247899497351E-5</c:v>
                </c:pt>
                <c:pt idx="20">
                  <c:v>9.166942931949979E-6</c:v>
                </c:pt>
                <c:pt idx="21">
                  <c:v>9.7771476748168293E-6</c:v>
                </c:pt>
                <c:pt idx="22">
                  <c:v>9.427050815662284E-6</c:v>
                </c:pt>
                <c:pt idx="23">
                  <c:v>1.0804549036358061E-5</c:v>
                </c:pt>
                <c:pt idx="24">
                  <c:v>1.159135420432477E-5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0248"/>
        <c:axId val="451579856"/>
      </c:lineChart>
      <c:catAx>
        <c:axId val="451579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9464"/>
        <c:crosses val="autoZero"/>
        <c:auto val="1"/>
        <c:lblAlgn val="ctr"/>
        <c:lblOffset val="100"/>
        <c:noMultiLvlLbl val="0"/>
      </c:catAx>
      <c:valAx>
        <c:axId val="45157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79072"/>
        <c:crosses val="autoZero"/>
        <c:crossBetween val="between"/>
        <c:majorUnit val="80000"/>
      </c:valAx>
      <c:valAx>
        <c:axId val="451579856"/>
        <c:scaling>
          <c:orientation val="minMax"/>
          <c:max val="5.0000000000000023E-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</a:t>
                </a:r>
                <a:r>
                  <a:rPr lang="es-CO" b="1" baseline="0"/>
                  <a:t> Comercial (%)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0248"/>
        <c:crosses val="max"/>
        <c:crossBetween val="between"/>
        <c:majorUnit val="8.000000000000003E-6"/>
      </c:valAx>
      <c:catAx>
        <c:axId val="451580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79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05'!$C$153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05'!$A$154:$A$178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81032"/>
        <c:axId val="4515814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05'!$B$153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05'!$A$154:$A$178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05'!$B$154:$B$178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186.107427</c:v>
                      </c:pt>
                      <c:pt idx="1">
                        <c:v>173.103004</c:v>
                      </c:pt>
                      <c:pt idx="2">
                        <c:v>218.984487</c:v>
                      </c:pt>
                      <c:pt idx="3">
                        <c:v>273.70874000000003</c:v>
                      </c:pt>
                      <c:pt idx="4">
                        <c:v>207.62341600000002</c:v>
                      </c:pt>
                      <c:pt idx="5">
                        <c:v>175.37612200000001</c:v>
                      </c:pt>
                      <c:pt idx="6">
                        <c:v>216.974152</c:v>
                      </c:pt>
                      <c:pt idx="7">
                        <c:v>188.64477199999999</c:v>
                      </c:pt>
                      <c:pt idx="8">
                        <c:v>257.073216</c:v>
                      </c:pt>
                      <c:pt idx="9">
                        <c:v>227.805204</c:v>
                      </c:pt>
                      <c:pt idx="10">
                        <c:v>197.53136799999999</c:v>
                      </c:pt>
                      <c:pt idx="11">
                        <c:v>205.55497600000001</c:v>
                      </c:pt>
                      <c:pt idx="12">
                        <c:v>192.190448</c:v>
                      </c:pt>
                      <c:pt idx="13">
                        <c:v>187.17767600000002</c:v>
                      </c:pt>
                      <c:pt idx="14">
                        <c:v>232.028919</c:v>
                      </c:pt>
                      <c:pt idx="15">
                        <c:v>231.395509</c:v>
                      </c:pt>
                      <c:pt idx="16">
                        <c:v>217.31656100000001</c:v>
                      </c:pt>
                      <c:pt idx="17">
                        <c:v>249.60987699999998</c:v>
                      </c:pt>
                      <c:pt idx="18">
                        <c:v>347.36110500000001</c:v>
                      </c:pt>
                      <c:pt idx="19">
                        <c:v>316.24375099999997</c:v>
                      </c:pt>
                      <c:pt idx="20">
                        <c:v>307.47316000000001</c:v>
                      </c:pt>
                      <c:pt idx="21">
                        <c:v>361.42174799999998</c:v>
                      </c:pt>
                      <c:pt idx="22">
                        <c:v>358.40881899999999</c:v>
                      </c:pt>
                      <c:pt idx="23">
                        <c:v>408.861445</c:v>
                      </c:pt>
                      <c:pt idx="24">
                        <c:v>338.56045399999999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05'!$D$153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05'!$A$154:$A$178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05'!$D$154:$D$178</c:f>
              <c:numCache>
                <c:formatCode>0.00000%</c:formatCode>
                <c:ptCount val="25"/>
                <c:pt idx="0">
                  <c:v>3.0143526211268697E-6</c:v>
                </c:pt>
                <c:pt idx="1">
                  <c:v>2.6471186590489285E-6</c:v>
                </c:pt>
                <c:pt idx="2">
                  <c:v>3.1835072610913839E-6</c:v>
                </c:pt>
                <c:pt idx="3">
                  <c:v>3.744943427437368E-6</c:v>
                </c:pt>
                <c:pt idx="4">
                  <c:v>2.7090525909243927E-6</c:v>
                </c:pt>
                <c:pt idx="5">
                  <c:v>2.1650835824938174E-6</c:v>
                </c:pt>
                <c:pt idx="6">
                  <c:v>2.5204597076266933E-6</c:v>
                </c:pt>
                <c:pt idx="7">
                  <c:v>2.0754899898428548E-6</c:v>
                </c:pt>
                <c:pt idx="8">
                  <c:v>2.6610415227836212E-6</c:v>
                </c:pt>
                <c:pt idx="9">
                  <c:v>2.2149742255035331E-6</c:v>
                </c:pt>
                <c:pt idx="10">
                  <c:v>1.8596746472168995E-6</c:v>
                </c:pt>
                <c:pt idx="11">
                  <c:v>1.8725093495667599E-6</c:v>
                </c:pt>
                <c:pt idx="12">
                  <c:v>1.6696721216054321E-6</c:v>
                </c:pt>
                <c:pt idx="13">
                  <c:v>1.5248779952110515E-6</c:v>
                </c:pt>
                <c:pt idx="14">
                  <c:v>1.7720618180035229E-6</c:v>
                </c:pt>
                <c:pt idx="15">
                  <c:v>1.670015729053237E-6</c:v>
                </c:pt>
                <c:pt idx="16">
                  <c:v>1.5010501438943586E-6</c:v>
                </c:pt>
                <c:pt idx="17">
                  <c:v>1.6958826400532333E-6</c:v>
                </c:pt>
                <c:pt idx="18">
                  <c:v>2.409094893804514E-6</c:v>
                </c:pt>
                <c:pt idx="19">
                  <c:v>2.1133112101196091E-6</c:v>
                </c:pt>
                <c:pt idx="20">
                  <c:v>1.9814062781327867E-6</c:v>
                </c:pt>
                <c:pt idx="21">
                  <c:v>2.2371776118668507E-6</c:v>
                </c:pt>
                <c:pt idx="22">
                  <c:v>2.1509054645097329E-6</c:v>
                </c:pt>
                <c:pt idx="23">
                  <c:v>2.356812081388989E-6</c:v>
                </c:pt>
                <c:pt idx="24">
                  <c:v>1.886446366846017E-6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2208"/>
        <c:axId val="451581816"/>
      </c:lineChart>
      <c:catAx>
        <c:axId val="451581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1424"/>
        <c:crosses val="autoZero"/>
        <c:auto val="1"/>
        <c:lblAlgn val="ctr"/>
        <c:lblOffset val="100"/>
        <c:noMultiLvlLbl val="0"/>
      </c:catAx>
      <c:valAx>
        <c:axId val="45158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1032"/>
        <c:crosses val="autoZero"/>
        <c:crossBetween val="between"/>
        <c:majorUnit val="4000"/>
      </c:valAx>
      <c:valAx>
        <c:axId val="4515818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2208"/>
        <c:crosses val="max"/>
        <c:crossBetween val="between"/>
      </c:valAx>
      <c:catAx>
        <c:axId val="4515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81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'Apertura 00'!$C$153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00'!$A$154:$A$178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696032"/>
        <c:axId val="5026964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00'!$B$153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(Precio CIF, US$ miles)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00'!$A$154:$A$178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00'!$B$154:$B$178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2540.4969999999998</c:v>
                      </c:pt>
                      <c:pt idx="1">
                        <c:v>778.54281600000002</c:v>
                      </c:pt>
                      <c:pt idx="2">
                        <c:v>726.94601599999999</c:v>
                      </c:pt>
                      <c:pt idx="3">
                        <c:v>990.27204799999993</c:v>
                      </c:pt>
                      <c:pt idx="4">
                        <c:v>1124.3610880000001</c:v>
                      </c:pt>
                      <c:pt idx="5">
                        <c:v>1264.539008</c:v>
                      </c:pt>
                      <c:pt idx="6">
                        <c:v>1477.9654399999999</c:v>
                      </c:pt>
                      <c:pt idx="7">
                        <c:v>1348.7868799999999</c:v>
                      </c:pt>
                      <c:pt idx="8">
                        <c:v>1193.2297920000001</c:v>
                      </c:pt>
                      <c:pt idx="9">
                        <c:v>1071.982888</c:v>
                      </c:pt>
                      <c:pt idx="10">
                        <c:v>940.04740700000002</c:v>
                      </c:pt>
                      <c:pt idx="11">
                        <c:v>1018.38838</c:v>
                      </c:pt>
                      <c:pt idx="12">
                        <c:v>1038.2639630000001</c:v>
                      </c:pt>
                      <c:pt idx="13">
                        <c:v>1217.3023229999999</c:v>
                      </c:pt>
                      <c:pt idx="14">
                        <c:v>1536.0551889999999</c:v>
                      </c:pt>
                      <c:pt idx="15">
                        <c:v>1674.9357299999999</c:v>
                      </c:pt>
                      <c:pt idx="16">
                        <c:v>2090.388798</c:v>
                      </c:pt>
                      <c:pt idx="17">
                        <c:v>2658.591101</c:v>
                      </c:pt>
                      <c:pt idx="18">
                        <c:v>1909.450292</c:v>
                      </c:pt>
                      <c:pt idx="19">
                        <c:v>1915.172262</c:v>
                      </c:pt>
                      <c:pt idx="20">
                        <c:v>2470.6055799999999</c:v>
                      </c:pt>
                      <c:pt idx="21">
                        <c:v>2247.7525559999999</c:v>
                      </c:pt>
                      <c:pt idx="22">
                        <c:v>2647.175538</c:v>
                      </c:pt>
                      <c:pt idx="23">
                        <c:v>3818.3010549999999</c:v>
                      </c:pt>
                      <c:pt idx="24">
                        <c:v>3872.0835889999998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'Apertura 00'!$D$153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00'!$A$154:$A$178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00'!$D$154:$D$178</c:f>
              <c:numCache>
                <c:formatCode>0.000000000%</c:formatCode>
                <c:ptCount val="25"/>
                <c:pt idx="0">
                  <c:v>4.1148028933390972E-10</c:v>
                </c:pt>
                <c:pt idx="1">
                  <c:v>1.19056005238482E-10</c:v>
                </c:pt>
                <c:pt idx="2">
                  <c:v>1.05680450339729E-10</c:v>
                </c:pt>
                <c:pt idx="3">
                  <c:v>1.3549120855740821E-10</c:v>
                </c:pt>
                <c:pt idx="4">
                  <c:v>1.4670567401612201E-10</c:v>
                </c:pt>
                <c:pt idx="5">
                  <c:v>1.5611205302189416E-10</c:v>
                </c:pt>
                <c:pt idx="6">
                  <c:v>1.7168645695570026E-10</c:v>
                </c:pt>
                <c:pt idx="7">
                  <c:v>1.483949774060728E-10</c:v>
                </c:pt>
                <c:pt idx="8">
                  <c:v>1.2351477420092119E-10</c:v>
                </c:pt>
                <c:pt idx="9">
                  <c:v>1.0423003625065739E-10</c:v>
                </c:pt>
                <c:pt idx="10">
                  <c:v>8.8501504732143939E-11</c:v>
                </c:pt>
                <c:pt idx="11">
                  <c:v>9.277040138596043E-11</c:v>
                </c:pt>
                <c:pt idx="12">
                  <c:v>9.0200132833275571E-11</c:v>
                </c:pt>
                <c:pt idx="13">
                  <c:v>9.9169813704813581E-11</c:v>
                </c:pt>
                <c:pt idx="14">
                  <c:v>1.1731230583257966E-10</c:v>
                </c:pt>
                <c:pt idx="15">
                  <c:v>1.2088259734778457E-10</c:v>
                </c:pt>
                <c:pt idx="16">
                  <c:v>1.4438744988390713E-10</c:v>
                </c:pt>
                <c:pt idx="17">
                  <c:v>1.8062820868205917E-10</c:v>
                </c:pt>
                <c:pt idx="18">
                  <c:v>1.3242838309230786E-10</c:v>
                </c:pt>
                <c:pt idx="19">
                  <c:v>1.279821339645927E-10</c:v>
                </c:pt>
                <c:pt idx="20">
                  <c:v>1.592097797089637E-10</c:v>
                </c:pt>
                <c:pt idx="21">
                  <c:v>1.3913445228812544E-10</c:v>
                </c:pt>
                <c:pt idx="22">
                  <c:v>1.5886395725660679E-10</c:v>
                </c:pt>
                <c:pt idx="23">
                  <c:v>2.2009945341763207E-10</c:v>
                </c:pt>
                <c:pt idx="24">
                  <c:v>2.1575106992836015E-10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697208"/>
        <c:axId val="502696816"/>
      </c:lineChart>
      <c:catAx>
        <c:axId val="502696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2696424"/>
        <c:crosses val="autoZero"/>
        <c:auto val="1"/>
        <c:lblAlgn val="ctr"/>
        <c:lblOffset val="100"/>
        <c:noMultiLvlLbl val="0"/>
      </c:catAx>
      <c:valAx>
        <c:axId val="50269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US$ Billones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2696032"/>
        <c:crosses val="autoZero"/>
        <c:crossBetween val="between"/>
        <c:majorUnit val="4000"/>
      </c:valAx>
      <c:valAx>
        <c:axId val="5026968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Balanza Comercial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2697208"/>
        <c:crosses val="max"/>
        <c:crossBetween val="between"/>
      </c:valAx>
      <c:catAx>
        <c:axId val="502697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2696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05'!$D$183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05'!$A$184:$A$208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82992"/>
        <c:axId val="4515833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05'!$B$183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05'!$A$184:$A$208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05'!$B$184:$B$208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186.107427</c:v>
                      </c:pt>
                      <c:pt idx="1">
                        <c:v>173.103004</c:v>
                      </c:pt>
                      <c:pt idx="2">
                        <c:v>218.984487</c:v>
                      </c:pt>
                      <c:pt idx="3">
                        <c:v>273.70874000000003</c:v>
                      </c:pt>
                      <c:pt idx="4">
                        <c:v>207.62341600000002</c:v>
                      </c:pt>
                      <c:pt idx="5">
                        <c:v>175.37612200000001</c:v>
                      </c:pt>
                      <c:pt idx="6">
                        <c:v>216.974152</c:v>
                      </c:pt>
                      <c:pt idx="7">
                        <c:v>188.64477199999999</c:v>
                      </c:pt>
                      <c:pt idx="8">
                        <c:v>257.073216</c:v>
                      </c:pt>
                      <c:pt idx="9">
                        <c:v>227.805204</c:v>
                      </c:pt>
                      <c:pt idx="10">
                        <c:v>197.53136799999999</c:v>
                      </c:pt>
                      <c:pt idx="11">
                        <c:v>205.55497600000001</c:v>
                      </c:pt>
                      <c:pt idx="12">
                        <c:v>192.190448</c:v>
                      </c:pt>
                      <c:pt idx="13">
                        <c:v>187.17767600000002</c:v>
                      </c:pt>
                      <c:pt idx="14">
                        <c:v>232.028919</c:v>
                      </c:pt>
                      <c:pt idx="15">
                        <c:v>231.395509</c:v>
                      </c:pt>
                      <c:pt idx="16">
                        <c:v>217.31656100000001</c:v>
                      </c:pt>
                      <c:pt idx="17">
                        <c:v>249.60987699999998</c:v>
                      </c:pt>
                      <c:pt idx="18">
                        <c:v>347.36110500000001</c:v>
                      </c:pt>
                      <c:pt idx="19">
                        <c:v>316.24375099999997</c:v>
                      </c:pt>
                      <c:pt idx="20">
                        <c:v>307.47316000000001</c:v>
                      </c:pt>
                      <c:pt idx="21">
                        <c:v>361.42174799999998</c:v>
                      </c:pt>
                      <c:pt idx="22">
                        <c:v>358.40881899999999</c:v>
                      </c:pt>
                      <c:pt idx="23">
                        <c:v>408.861445</c:v>
                      </c:pt>
                      <c:pt idx="24">
                        <c:v>338.56045399999999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05'!$C$183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05'!$A$184:$A$208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05'!$C$184:$C$208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93.053713500000001</c:v>
                      </c:pt>
                      <c:pt idx="1">
                        <c:v>86.551501999999999</c:v>
                      </c:pt>
                      <c:pt idx="2">
                        <c:v>109.4922435</c:v>
                      </c:pt>
                      <c:pt idx="3">
                        <c:v>136.85437000000002</c:v>
                      </c:pt>
                      <c:pt idx="4">
                        <c:v>103.81170800000001</c:v>
                      </c:pt>
                      <c:pt idx="5">
                        <c:v>87.688061000000005</c:v>
                      </c:pt>
                      <c:pt idx="6">
                        <c:v>108.487076</c:v>
                      </c:pt>
                      <c:pt idx="7">
                        <c:v>94.322385999999995</c:v>
                      </c:pt>
                      <c:pt idx="8">
                        <c:v>128.536608</c:v>
                      </c:pt>
                      <c:pt idx="9">
                        <c:v>113.902602</c:v>
                      </c:pt>
                      <c:pt idx="10">
                        <c:v>98.765683999999993</c:v>
                      </c:pt>
                      <c:pt idx="11">
                        <c:v>102.77748800000001</c:v>
                      </c:pt>
                      <c:pt idx="12">
                        <c:v>96.095224000000002</c:v>
                      </c:pt>
                      <c:pt idx="13">
                        <c:v>93.58883800000001</c:v>
                      </c:pt>
                      <c:pt idx="14">
                        <c:v>116.0144595</c:v>
                      </c:pt>
                      <c:pt idx="15">
                        <c:v>115.6977545</c:v>
                      </c:pt>
                      <c:pt idx="16">
                        <c:v>108.6582805</c:v>
                      </c:pt>
                      <c:pt idx="17">
                        <c:v>124.80493849999999</c:v>
                      </c:pt>
                      <c:pt idx="18">
                        <c:v>173.6805525</c:v>
                      </c:pt>
                      <c:pt idx="19">
                        <c:v>158.12187549999999</c:v>
                      </c:pt>
                      <c:pt idx="20">
                        <c:v>153.73658</c:v>
                      </c:pt>
                      <c:pt idx="21">
                        <c:v>180.71087399999999</c:v>
                      </c:pt>
                      <c:pt idx="22">
                        <c:v>179.2044095</c:v>
                      </c:pt>
                      <c:pt idx="23">
                        <c:v>204.4307225</c:v>
                      </c:pt>
                      <c:pt idx="24">
                        <c:v>169.280227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05'!$E$183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05'!$A$184:$A$208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05'!$E$184:$E$208</c:f>
              <c:numCache>
                <c:formatCode>0.0000%</c:formatCode>
                <c:ptCount val="25"/>
                <c:pt idx="0">
                  <c:v>2.2564191507932159E-5</c:v>
                </c:pt>
                <c:pt idx="1">
                  <c:v>1.7563358412278475E-5</c:v>
                </c:pt>
                <c:pt idx="2">
                  <c:v>1.9621372665449332E-5</c:v>
                </c:pt>
                <c:pt idx="3">
                  <c:v>1.6750124007949872E-5</c:v>
                </c:pt>
                <c:pt idx="4">
                  <c:v>1.1222004416394324E-5</c:v>
                </c:pt>
                <c:pt idx="5">
                  <c:v>9.0251091296671246E-6</c:v>
                </c:pt>
                <c:pt idx="6">
                  <c:v>1.0171346002936451E-5</c:v>
                </c:pt>
                <c:pt idx="7">
                  <c:v>9.5813489961612703E-6</c:v>
                </c:pt>
                <c:pt idx="8">
                  <c:v>1.4913834552322168E-5</c:v>
                </c:pt>
                <c:pt idx="9">
                  <c:v>1.1403193979076445E-5</c:v>
                </c:pt>
                <c:pt idx="10">
                  <c:v>1.0057242234476466E-5</c:v>
                </c:pt>
                <c:pt idx="11">
                  <c:v>1.0494631660051638E-5</c:v>
                </c:pt>
                <c:pt idx="12">
                  <c:v>1.0148983222859011E-5</c:v>
                </c:pt>
                <c:pt idx="13">
                  <c:v>7.9939308568145026E-6</c:v>
                </c:pt>
                <c:pt idx="14">
                  <c:v>7.9154953196507275E-6</c:v>
                </c:pt>
                <c:pt idx="15">
                  <c:v>7.115914296023352E-6</c:v>
                </c:pt>
                <c:pt idx="16">
                  <c:v>5.2386518578160922E-6</c:v>
                </c:pt>
                <c:pt idx="17">
                  <c:v>5.1153246761994188E-6</c:v>
                </c:pt>
                <c:pt idx="18">
                  <c:v>7.4279065792204216E-6</c:v>
                </c:pt>
                <c:pt idx="19">
                  <c:v>5.5091239497486762E-6</c:v>
                </c:pt>
                <c:pt idx="20">
                  <c:v>4.5834714659749895E-6</c:v>
                </c:pt>
                <c:pt idx="21">
                  <c:v>4.8885738374084147E-6</c:v>
                </c:pt>
                <c:pt idx="22">
                  <c:v>4.713525407831142E-6</c:v>
                </c:pt>
                <c:pt idx="23">
                  <c:v>5.4022745181790306E-6</c:v>
                </c:pt>
                <c:pt idx="24">
                  <c:v>5.7956771021623843E-6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4168"/>
        <c:axId val="451583776"/>
      </c:lineChart>
      <c:catAx>
        <c:axId val="451582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3384"/>
        <c:crosses val="autoZero"/>
        <c:auto val="1"/>
        <c:lblAlgn val="ctr"/>
        <c:lblOffset val="100"/>
        <c:noMultiLvlLbl val="0"/>
      </c:catAx>
      <c:valAx>
        <c:axId val="45158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2992"/>
        <c:crosses val="autoZero"/>
        <c:crossBetween val="between"/>
        <c:majorUnit val="80000"/>
      </c:valAx>
      <c:valAx>
        <c:axId val="451583776"/>
        <c:scaling>
          <c:orientation val="minMax"/>
          <c:max val="2.5000000000000011E-5"/>
          <c:min val="0"/>
        </c:scaling>
        <c:delete val="0"/>
        <c:axPos val="r"/>
        <c:numFmt formatCode="0.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4168"/>
        <c:crosses val="max"/>
        <c:crossBetween val="between"/>
        <c:majorUnit val="5.0000000000000021E-6"/>
      </c:valAx>
      <c:catAx>
        <c:axId val="451584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8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'Apertura 05'!$D$212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05'!$A$213:$A$237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84952"/>
        <c:axId val="451585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'Apertura 05'!$B$212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'Apertura 05'!$A$213:$A$237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'Apertura 05'!$B$213:$B$237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186.107427</c:v>
                      </c:pt>
                      <c:pt idx="1">
                        <c:v>173.103004</c:v>
                      </c:pt>
                      <c:pt idx="2">
                        <c:v>218.984487</c:v>
                      </c:pt>
                      <c:pt idx="3">
                        <c:v>273.70874000000003</c:v>
                      </c:pt>
                      <c:pt idx="4">
                        <c:v>207.62341600000002</c:v>
                      </c:pt>
                      <c:pt idx="5">
                        <c:v>175.37612200000001</c:v>
                      </c:pt>
                      <c:pt idx="6">
                        <c:v>216.974152</c:v>
                      </c:pt>
                      <c:pt idx="7">
                        <c:v>188.64477199999999</c:v>
                      </c:pt>
                      <c:pt idx="8">
                        <c:v>257.073216</c:v>
                      </c:pt>
                      <c:pt idx="9">
                        <c:v>227.805204</c:v>
                      </c:pt>
                      <c:pt idx="10">
                        <c:v>197.53136799999999</c:v>
                      </c:pt>
                      <c:pt idx="11">
                        <c:v>205.55497600000001</c:v>
                      </c:pt>
                      <c:pt idx="12">
                        <c:v>192.190448</c:v>
                      </c:pt>
                      <c:pt idx="13">
                        <c:v>187.17767600000002</c:v>
                      </c:pt>
                      <c:pt idx="14">
                        <c:v>232.028919</c:v>
                      </c:pt>
                      <c:pt idx="15">
                        <c:v>231.395509</c:v>
                      </c:pt>
                      <c:pt idx="16">
                        <c:v>217.31656100000001</c:v>
                      </c:pt>
                      <c:pt idx="17">
                        <c:v>249.60987699999998</c:v>
                      </c:pt>
                      <c:pt idx="18">
                        <c:v>347.36110500000001</c:v>
                      </c:pt>
                      <c:pt idx="19">
                        <c:v>316.24375099999997</c:v>
                      </c:pt>
                      <c:pt idx="20">
                        <c:v>307.47316000000001</c:v>
                      </c:pt>
                      <c:pt idx="21">
                        <c:v>361.42174799999998</c:v>
                      </c:pt>
                      <c:pt idx="22">
                        <c:v>358.40881899999999</c:v>
                      </c:pt>
                      <c:pt idx="23">
                        <c:v>408.861445</c:v>
                      </c:pt>
                      <c:pt idx="24">
                        <c:v>338.56045399999999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'Apertura 05'!$C$212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05'!$A$213:$A$237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'Apertura 05'!$C$213:$C$237</c15:sqref>
                        </c15:formulaRef>
                      </c:ext>
                    </c:extLst>
                    <c:numCache>
                      <c:formatCode>"$"\ #,##0.000</c:formatCode>
                      <c:ptCount val="25"/>
                      <c:pt idx="0">
                        <c:v>93.053713500000001</c:v>
                      </c:pt>
                      <c:pt idx="1">
                        <c:v>86.551501999999999</c:v>
                      </c:pt>
                      <c:pt idx="2">
                        <c:v>109.4922435</c:v>
                      </c:pt>
                      <c:pt idx="3">
                        <c:v>136.85437000000002</c:v>
                      </c:pt>
                      <c:pt idx="4">
                        <c:v>103.81170800000001</c:v>
                      </c:pt>
                      <c:pt idx="5">
                        <c:v>87.688061000000005</c:v>
                      </c:pt>
                      <c:pt idx="6">
                        <c:v>108.487076</c:v>
                      </c:pt>
                      <c:pt idx="7">
                        <c:v>94.322385999999995</c:v>
                      </c:pt>
                      <c:pt idx="8">
                        <c:v>128.536608</c:v>
                      </c:pt>
                      <c:pt idx="9">
                        <c:v>113.902602</c:v>
                      </c:pt>
                      <c:pt idx="10">
                        <c:v>98.765683999999993</c:v>
                      </c:pt>
                      <c:pt idx="11">
                        <c:v>102.77748800000001</c:v>
                      </c:pt>
                      <c:pt idx="12">
                        <c:v>96.095224000000002</c:v>
                      </c:pt>
                      <c:pt idx="13">
                        <c:v>93.58883800000001</c:v>
                      </c:pt>
                      <c:pt idx="14">
                        <c:v>116.0144595</c:v>
                      </c:pt>
                      <c:pt idx="15">
                        <c:v>115.6977545</c:v>
                      </c:pt>
                      <c:pt idx="16">
                        <c:v>108.6582805</c:v>
                      </c:pt>
                      <c:pt idx="17">
                        <c:v>124.80493849999999</c:v>
                      </c:pt>
                      <c:pt idx="18">
                        <c:v>173.6805525</c:v>
                      </c:pt>
                      <c:pt idx="19">
                        <c:v>158.12187549999999</c:v>
                      </c:pt>
                      <c:pt idx="20">
                        <c:v>153.73658</c:v>
                      </c:pt>
                      <c:pt idx="21">
                        <c:v>180.71087399999999</c:v>
                      </c:pt>
                      <c:pt idx="22">
                        <c:v>179.2044095</c:v>
                      </c:pt>
                      <c:pt idx="23">
                        <c:v>204.4307225</c:v>
                      </c:pt>
                      <c:pt idx="24">
                        <c:v>169.280227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'Apertura 05'!$E$212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05'!$A$213:$A$237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'Apertura 05'!$E$213:$E$237</c:f>
              <c:numCache>
                <c:formatCode>0.00000%</c:formatCode>
                <c:ptCount val="25"/>
                <c:pt idx="0">
                  <c:v>1.5071763105634349E-6</c:v>
                </c:pt>
                <c:pt idx="1">
                  <c:v>1.3235593295244642E-6</c:v>
                </c:pt>
                <c:pt idx="2">
                  <c:v>1.591753630545692E-6</c:v>
                </c:pt>
                <c:pt idx="3">
                  <c:v>1.872471713718684E-6</c:v>
                </c:pt>
                <c:pt idx="4">
                  <c:v>1.3545262954621963E-6</c:v>
                </c:pt>
                <c:pt idx="5">
                  <c:v>1.0825417912469087E-6</c:v>
                </c:pt>
                <c:pt idx="6">
                  <c:v>1.2602298538133467E-6</c:v>
                </c:pt>
                <c:pt idx="7">
                  <c:v>1.0377449949214274E-6</c:v>
                </c:pt>
                <c:pt idx="8">
                  <c:v>1.3305207613918106E-6</c:v>
                </c:pt>
                <c:pt idx="9">
                  <c:v>1.1074871127517665E-6</c:v>
                </c:pt>
                <c:pt idx="10">
                  <c:v>9.2983732360844976E-7</c:v>
                </c:pt>
                <c:pt idx="11">
                  <c:v>9.3625467478337995E-7</c:v>
                </c:pt>
                <c:pt idx="12">
                  <c:v>8.3483606080271606E-7</c:v>
                </c:pt>
                <c:pt idx="13">
                  <c:v>7.6243899760552575E-7</c:v>
                </c:pt>
                <c:pt idx="14">
                  <c:v>8.8603090900176147E-7</c:v>
                </c:pt>
                <c:pt idx="15">
                  <c:v>8.3500786452661848E-7</c:v>
                </c:pt>
                <c:pt idx="16">
                  <c:v>7.5052507194717929E-7</c:v>
                </c:pt>
                <c:pt idx="17">
                  <c:v>8.4794132002661667E-7</c:v>
                </c:pt>
                <c:pt idx="18">
                  <c:v>1.204547446902257E-6</c:v>
                </c:pt>
                <c:pt idx="19">
                  <c:v>1.0566556050598045E-6</c:v>
                </c:pt>
                <c:pt idx="20">
                  <c:v>9.9070313906639336E-7</c:v>
                </c:pt>
                <c:pt idx="21">
                  <c:v>1.1185888059334254E-6</c:v>
                </c:pt>
                <c:pt idx="22">
                  <c:v>1.0754527322548665E-6</c:v>
                </c:pt>
                <c:pt idx="23">
                  <c:v>1.1784060406944945E-6</c:v>
                </c:pt>
                <c:pt idx="24">
                  <c:v>9.4322318342300852E-7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6128"/>
        <c:axId val="451585736"/>
      </c:lineChart>
      <c:catAx>
        <c:axId val="451584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5344"/>
        <c:crosses val="autoZero"/>
        <c:auto val="1"/>
        <c:lblAlgn val="ctr"/>
        <c:lblOffset val="100"/>
        <c:noMultiLvlLbl val="0"/>
      </c:catAx>
      <c:valAx>
        <c:axId val="45158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4952"/>
        <c:crosses val="autoZero"/>
        <c:crossBetween val="between"/>
        <c:majorUnit val="4000"/>
      </c:valAx>
      <c:valAx>
        <c:axId val="451585736"/>
        <c:scaling>
          <c:orientation val="minMax"/>
        </c:scaling>
        <c:delete val="0"/>
        <c:axPos val="r"/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6128"/>
        <c:crosses val="max"/>
        <c:crossBetween val="between"/>
      </c:valAx>
      <c:catAx>
        <c:axId val="451586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585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05'!$D$5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05'!$D$6:$D$30</c:f>
              <c:numCache>
                <c:formatCode>"$"\ #,##0.00000</c:formatCode>
                <c:ptCount val="25"/>
                <c:pt idx="0">
                  <c:v>5.0253376846833113</c:v>
                </c:pt>
                <c:pt idx="1">
                  <c:v>4.4634814281378814</c:v>
                </c:pt>
                <c:pt idx="2">
                  <c:v>5.8029136157463892</c:v>
                </c:pt>
                <c:pt idx="3">
                  <c:v>6.6109974506093723</c:v>
                </c:pt>
                <c:pt idx="4">
                  <c:v>4.7376675989848893</c:v>
                </c:pt>
                <c:pt idx="5">
                  <c:v>3.9145759239046916</c:v>
                </c:pt>
                <c:pt idx="6">
                  <c:v>4.7430991204479813</c:v>
                </c:pt>
                <c:pt idx="7">
                  <c:v>4.0975648098827762</c:v>
                </c:pt>
                <c:pt idx="8">
                  <c:v>5.8802685010253253</c:v>
                </c:pt>
                <c:pt idx="9">
                  <c:v>5.1041549661435432</c:v>
                </c:pt>
                <c:pt idx="10">
                  <c:v>4.4185927900742552</c:v>
                </c:pt>
                <c:pt idx="11">
                  <c:v>4.5649783792541498</c:v>
                </c:pt>
                <c:pt idx="12">
                  <c:v>4.2506129005502862</c:v>
                </c:pt>
                <c:pt idx="13">
                  <c:v>4.0184557207126268</c:v>
                </c:pt>
                <c:pt idx="14">
                  <c:v>4.8780618398477618</c:v>
                </c:pt>
                <c:pt idx="15">
                  <c:v>4.738618451348013</c:v>
                </c:pt>
                <c:pt idx="16">
                  <c:v>4.0847670457454468</c:v>
                </c:pt>
                <c:pt idx="17">
                  <c:v>4.6864934891331371</c:v>
                </c:pt>
                <c:pt idx="18">
                  <c:v>6.5130199690378801</c:v>
                </c:pt>
                <c:pt idx="19">
                  <c:v>5.8414279726222063</c:v>
                </c:pt>
                <c:pt idx="20">
                  <c:v>5.0810918960943976</c:v>
                </c:pt>
                <c:pt idx="21">
                  <c:v>5.7729418833608124</c:v>
                </c:pt>
                <c:pt idx="22">
                  <c:v>5.1445284509447564</c:v>
                </c:pt>
                <c:pt idx="23">
                  <c:v>5.5898568805235946</c:v>
                </c:pt>
                <c:pt idx="24">
                  <c:v>4.3457056612494487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05'!$D$35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05'!$D$36:$D$60</c:f>
              <c:numCache>
                <c:formatCode>"$"\ #,##0.0000</c:formatCode>
                <c:ptCount val="25"/>
                <c:pt idx="0">
                  <c:v>0.31788314116019345</c:v>
                </c:pt>
                <c:pt idx="1">
                  <c:v>0.40978498879815684</c:v>
                </c:pt>
                <c:pt idx="2">
                  <c:v>0.24519403759062999</c:v>
                </c:pt>
                <c:pt idx="3">
                  <c:v>0.81586111431068165</c:v>
                </c:pt>
                <c:pt idx="4">
                  <c:v>0.80306672277228353</c:v>
                </c:pt>
                <c:pt idx="5">
                  <c:v>0.69233517345910811</c:v>
                </c:pt>
                <c:pt idx="6">
                  <c:v>0.87280023023271414</c:v>
                </c:pt>
                <c:pt idx="7">
                  <c:v>0.71671083043745709</c:v>
                </c:pt>
                <c:pt idx="8">
                  <c:v>0.59010785537204657</c:v>
                </c:pt>
                <c:pt idx="9">
                  <c:v>0.54920205482673112</c:v>
                </c:pt>
                <c:pt idx="10">
                  <c:v>0.42125602382797417</c:v>
                </c:pt>
                <c:pt idx="11">
                  <c:v>0.40866848763952246</c:v>
                </c:pt>
                <c:pt idx="12">
                  <c:v>0.34186568416194058</c:v>
                </c:pt>
                <c:pt idx="13">
                  <c:v>0.39939538556590964</c:v>
                </c:pt>
                <c:pt idx="14">
                  <c:v>0.53197631202255369</c:v>
                </c:pt>
                <c:pt idx="15">
                  <c:v>0.59234370969735128</c:v>
                </c:pt>
                <c:pt idx="16">
                  <c:v>0.86246158933623607</c:v>
                </c:pt>
                <c:pt idx="17">
                  <c:v>0.92888190264246728</c:v>
                </c:pt>
                <c:pt idx="18">
                  <c:v>1.2097484879109355</c:v>
                </c:pt>
                <c:pt idx="19">
                  <c:v>1.1075204291034608</c:v>
                </c:pt>
                <c:pt idx="20">
                  <c:v>1.5966325997699493</c:v>
                </c:pt>
                <c:pt idx="21">
                  <c:v>1.9859160728853398</c:v>
                </c:pt>
                <c:pt idx="22">
                  <c:v>2.461594977144947</c:v>
                </c:pt>
                <c:pt idx="23">
                  <c:v>2.988534126930658</c:v>
                </c:pt>
                <c:pt idx="24">
                  <c:v>2.677873980064271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05'!$D$64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 Per Cápita 05'!$D$65:$D$89</c:f>
              <c:numCache>
                <c:formatCode>"$"\ #,##0.00</c:formatCode>
                <c:ptCount val="25"/>
                <c:pt idx="0">
                  <c:v>5.3432208258435043</c:v>
                </c:pt>
                <c:pt idx="1">
                  <c:v>4.8732664169360378</c:v>
                </c:pt>
                <c:pt idx="2">
                  <c:v>6.0481076533370191</c:v>
                </c:pt>
                <c:pt idx="3">
                  <c:v>7.4268585649200549</c:v>
                </c:pt>
                <c:pt idx="4">
                  <c:v>5.5407343217571743</c:v>
                </c:pt>
                <c:pt idx="5">
                  <c:v>4.6069110973638008</c:v>
                </c:pt>
                <c:pt idx="6">
                  <c:v>5.6158993506806958</c:v>
                </c:pt>
                <c:pt idx="7">
                  <c:v>4.8142756403202327</c:v>
                </c:pt>
                <c:pt idx="8">
                  <c:v>6.470376356397372</c:v>
                </c:pt>
                <c:pt idx="9">
                  <c:v>5.6533570209702741</c:v>
                </c:pt>
                <c:pt idx="10">
                  <c:v>4.8398488139022291</c:v>
                </c:pt>
                <c:pt idx="11">
                  <c:v>4.973646866893672</c:v>
                </c:pt>
                <c:pt idx="12">
                  <c:v>4.5924785847122269</c:v>
                </c:pt>
                <c:pt idx="13">
                  <c:v>4.4178511062785368</c:v>
                </c:pt>
                <c:pt idx="14">
                  <c:v>5.4100381518703156</c:v>
                </c:pt>
                <c:pt idx="15">
                  <c:v>5.3309621610453641</c:v>
                </c:pt>
                <c:pt idx="16">
                  <c:v>4.9472286350816832</c:v>
                </c:pt>
                <c:pt idx="17">
                  <c:v>5.6153753917756042</c:v>
                </c:pt>
                <c:pt idx="18">
                  <c:v>7.722768456948816</c:v>
                </c:pt>
                <c:pt idx="19">
                  <c:v>6.9489484017256666</c:v>
                </c:pt>
                <c:pt idx="20">
                  <c:v>6.6777244958643474</c:v>
                </c:pt>
                <c:pt idx="21">
                  <c:v>7.7588579562461515</c:v>
                </c:pt>
                <c:pt idx="22">
                  <c:v>7.6061234280897034</c:v>
                </c:pt>
                <c:pt idx="23">
                  <c:v>8.5783910074542522</c:v>
                </c:pt>
                <c:pt idx="24">
                  <c:v>7.0235796413137201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586912"/>
        <c:axId val="451587304"/>
      </c:lineChart>
      <c:catAx>
        <c:axId val="451586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7304"/>
        <c:crosses val="autoZero"/>
        <c:auto val="1"/>
        <c:lblAlgn val="ctr"/>
        <c:lblOffset val="100"/>
        <c:noMultiLvlLbl val="0"/>
      </c:catAx>
      <c:valAx>
        <c:axId val="45158730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5869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05'!$D$96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05'!$D$97:$D$121</c:f>
              <c:numCache>
                <c:formatCode>"$"\ #,##0.00</c:formatCode>
                <c:ptCount val="25"/>
                <c:pt idx="0">
                  <c:v>4.3656064190521253E-2</c:v>
                </c:pt>
                <c:pt idx="1">
                  <c:v>5.6744795646275478E-2</c:v>
                </c:pt>
                <c:pt idx="2">
                  <c:v>3.4259764366285778E-2</c:v>
                </c:pt>
                <c:pt idx="3">
                  <c:v>0.11386637178530719</c:v>
                </c:pt>
                <c:pt idx="4">
                  <c:v>0.11296129850824706</c:v>
                </c:pt>
                <c:pt idx="5">
                  <c:v>9.8002640092217305E-2</c:v>
                </c:pt>
                <c:pt idx="6">
                  <c:v>0.12425517802989826</c:v>
                </c:pt>
                <c:pt idx="7">
                  <c:v>0.10340787380699894</c:v>
                </c:pt>
                <c:pt idx="8">
                  <c:v>8.5559863369631867E-2</c:v>
                </c:pt>
                <c:pt idx="9">
                  <c:v>7.7659006750401993E-2</c:v>
                </c:pt>
                <c:pt idx="10">
                  <c:v>5.9775535726454949E-2</c:v>
                </c:pt>
                <c:pt idx="11">
                  <c:v>5.8218980175216366E-2</c:v>
                </c:pt>
                <c:pt idx="12">
                  <c:v>4.886087477829721E-2</c:v>
                </c:pt>
                <c:pt idx="13">
                  <c:v>5.7261687016098885E-2</c:v>
                </c:pt>
                <c:pt idx="14">
                  <c:v>7.6465318482968114E-2</c:v>
                </c:pt>
                <c:pt idx="15">
                  <c:v>8.535385578427139E-2</c:v>
                </c:pt>
                <c:pt idx="16">
                  <c:v>0.12458415238663433</c:v>
                </c:pt>
                <c:pt idx="17">
                  <c:v>0.13459484370858943</c:v>
                </c:pt>
                <c:pt idx="18">
                  <c:v>0.1762392239009459</c:v>
                </c:pt>
                <c:pt idx="19">
                  <c:v>0.16293283824581528</c:v>
                </c:pt>
                <c:pt idx="20">
                  <c:v>0.23583961924079752</c:v>
                </c:pt>
                <c:pt idx="21">
                  <c:v>0.29450504287835755</c:v>
                </c:pt>
                <c:pt idx="22">
                  <c:v>0.3664895445898439</c:v>
                </c:pt>
                <c:pt idx="23">
                  <c:v>0.44671702984048123</c:v>
                </c:pt>
                <c:pt idx="24">
                  <c:v>0.40160263173139638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05'!$D$126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05'!$D$127:$D$151</c:f>
              <c:numCache>
                <c:formatCode>"$"\ #,##0.0000</c:formatCode>
                <c:ptCount val="25"/>
                <c:pt idx="0">
                  <c:v>0.69014815866256607</c:v>
                </c:pt>
                <c:pt idx="1">
                  <c:v>0.61807862277596715</c:v>
                </c:pt>
                <c:pt idx="2">
                  <c:v>0.81081275493862182</c:v>
                </c:pt>
                <c:pt idx="3">
                  <c:v>0.9226696558749683</c:v>
                </c:pt>
                <c:pt idx="4">
                  <c:v>0.6664117298177914</c:v>
                </c:pt>
                <c:pt idx="5">
                  <c:v>0.55412290187037516</c:v>
                </c:pt>
                <c:pt idx="6">
                  <c:v>0.6752457265823345</c:v>
                </c:pt>
                <c:pt idx="7">
                  <c:v>0.5912014257099093</c:v>
                </c:pt>
                <c:pt idx="8">
                  <c:v>0.85258137973316206</c:v>
                </c:pt>
                <c:pt idx="9">
                  <c:v>0.7217445774049317</c:v>
                </c:pt>
                <c:pt idx="10">
                  <c:v>0.62699103690823077</c:v>
                </c:pt>
                <c:pt idx="11">
                  <c:v>0.65032757308294631</c:v>
                </c:pt>
                <c:pt idx="12">
                  <c:v>0.60751539065389448</c:v>
                </c:pt>
                <c:pt idx="13">
                  <c:v>0.57612972528829087</c:v>
                </c:pt>
                <c:pt idx="14">
                  <c:v>0.70116383706152441</c:v>
                </c:pt>
                <c:pt idx="15">
                  <c:v>0.68281193721074196</c:v>
                </c:pt>
                <c:pt idx="16">
                  <c:v>0.59005206305211588</c:v>
                </c:pt>
                <c:pt idx="17">
                  <c:v>0.67907218013051007</c:v>
                </c:pt>
                <c:pt idx="18">
                  <c:v>0.94883324597228669</c:v>
                </c:pt>
                <c:pt idx="19">
                  <c:v>0.85936151964102891</c:v>
                </c:pt>
                <c:pt idx="20">
                  <c:v>0.75053132340844408</c:v>
                </c:pt>
                <c:pt idx="21">
                  <c:v>0.85610893637779828</c:v>
                </c:pt>
                <c:pt idx="22">
                  <c:v>0.76593261955019798</c:v>
                </c:pt>
                <c:pt idx="23">
                  <c:v>0.83555487635186598</c:v>
                </c:pt>
                <c:pt idx="24">
                  <c:v>0.65172851421705802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05'!$D$155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05'!$D$156:$D$180</c:f>
              <c:numCache>
                <c:formatCode>"$"\ #,##0.0000</c:formatCode>
                <c:ptCount val="25"/>
                <c:pt idx="0">
                  <c:v>0.73380422285308722</c:v>
                </c:pt>
                <c:pt idx="1">
                  <c:v>0.67482341842224269</c:v>
                </c:pt>
                <c:pt idx="2">
                  <c:v>0.84507251930490757</c:v>
                </c:pt>
                <c:pt idx="3">
                  <c:v>1.0365360276602755</c:v>
                </c:pt>
                <c:pt idx="4">
                  <c:v>0.7793730283260385</c:v>
                </c:pt>
                <c:pt idx="5">
                  <c:v>0.65212554196259254</c:v>
                </c:pt>
                <c:pt idx="6">
                  <c:v>0.79950090461223267</c:v>
                </c:pt>
                <c:pt idx="7">
                  <c:v>0.6946092995169082</c:v>
                </c:pt>
                <c:pt idx="8">
                  <c:v>0.9381412431027939</c:v>
                </c:pt>
                <c:pt idx="9">
                  <c:v>0.79940358415533364</c:v>
                </c:pt>
                <c:pt idx="10">
                  <c:v>0.68676657263468566</c:v>
                </c:pt>
                <c:pt idx="11">
                  <c:v>0.70854655325816285</c:v>
                </c:pt>
                <c:pt idx="12">
                  <c:v>0.65637626543219174</c:v>
                </c:pt>
                <c:pt idx="13">
                  <c:v>0.63339141230438978</c:v>
                </c:pt>
                <c:pt idx="14">
                  <c:v>0.77762915554449252</c:v>
                </c:pt>
                <c:pt idx="15">
                  <c:v>0.76816579299501331</c:v>
                </c:pt>
                <c:pt idx="16">
                  <c:v>0.71463621543875033</c:v>
                </c:pt>
                <c:pt idx="17">
                  <c:v>0.8136670238390995</c:v>
                </c:pt>
                <c:pt idx="18">
                  <c:v>1.1250724698732328</c:v>
                </c:pt>
                <c:pt idx="19">
                  <c:v>1.0222943578868442</c:v>
                </c:pt>
                <c:pt idx="20">
                  <c:v>0.98637094264924163</c:v>
                </c:pt>
                <c:pt idx="21">
                  <c:v>1.1506139792561558</c:v>
                </c:pt>
                <c:pt idx="22">
                  <c:v>1.132422164140042</c:v>
                </c:pt>
                <c:pt idx="23">
                  <c:v>1.2822719061923471</c:v>
                </c:pt>
                <c:pt idx="24">
                  <c:v>1.0533311459484545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041392"/>
        <c:axId val="170041784"/>
      </c:lineChart>
      <c:catAx>
        <c:axId val="170041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1784"/>
        <c:crosses val="autoZero"/>
        <c:auto val="1"/>
        <c:lblAlgn val="ctr"/>
        <c:lblOffset val="100"/>
        <c:noMultiLvlLbl val="0"/>
      </c:catAx>
      <c:valAx>
        <c:axId val="17004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05'!$D$5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05'!$B$6:$B$30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05'!$D$6:$D$30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042176"/>
        <c:axId val="1700425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05'!$C$5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05'!$B$6:$B$30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05'!$C$6:$C$30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175.03537600000001</c:v>
                      </c:pt>
                      <c:pt idx="1">
                        <c:v>158.547056</c:v>
                      </c:pt>
                      <c:pt idx="2">
                        <c:v>210.10672</c:v>
                      </c:pt>
                      <c:pt idx="3">
                        <c:v>243.64107200000001</c:v>
                      </c:pt>
                      <c:pt idx="4">
                        <c:v>177.53075200000001</c:v>
                      </c:pt>
                      <c:pt idx="5">
                        <c:v>149.02027200000001</c:v>
                      </c:pt>
                      <c:pt idx="6">
                        <c:v>183.25291200000001</c:v>
                      </c:pt>
                      <c:pt idx="7">
                        <c:v>160.56084799999999</c:v>
                      </c:pt>
                      <c:pt idx="8">
                        <c:v>233.62775999999999</c:v>
                      </c:pt>
                      <c:pt idx="9">
                        <c:v>205.67479800000001</c:v>
                      </c:pt>
                      <c:pt idx="10">
                        <c:v>180.33841799999999</c:v>
                      </c:pt>
                      <c:pt idx="11">
                        <c:v>188.665188</c:v>
                      </c:pt>
                      <c:pt idx="12">
                        <c:v>177.883725</c:v>
                      </c:pt>
                      <c:pt idx="13">
                        <c:v>170.255897</c:v>
                      </c:pt>
                      <c:pt idx="14">
                        <c:v>209.21320399999999</c:v>
                      </c:pt>
                      <c:pt idx="15">
                        <c:v>205.68426400000001</c:v>
                      </c:pt>
                      <c:pt idx="16">
                        <c:v>179.43127200000001</c:v>
                      </c:pt>
                      <c:pt idx="17">
                        <c:v>208.32001099999999</c:v>
                      </c:pt>
                      <c:pt idx="18">
                        <c:v>292.94803100000001</c:v>
                      </c:pt>
                      <c:pt idx="19">
                        <c:v>265.840957</c:v>
                      </c:pt>
                      <c:pt idx="20">
                        <c:v>233.95684900000001</c:v>
                      </c:pt>
                      <c:pt idx="21">
                        <c:v>268.91415699999999</c:v>
                      </c:pt>
                      <c:pt idx="22">
                        <c:v>242.415783</c:v>
                      </c:pt>
                      <c:pt idx="23">
                        <c:v>266.42256800000001</c:v>
                      </c:pt>
                      <c:pt idx="24">
                        <c:v>209.47781000000001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05'!$E$5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05'!$B$6:$B$30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05'!$E$6:$E$30</c:f>
              <c:numCache>
                <c:formatCode>0.00000000000%</c:formatCode>
                <c:ptCount val="25"/>
                <c:pt idx="0">
                  <c:v>5.6670254841575521E-11</c:v>
                </c:pt>
                <c:pt idx="1">
                  <c:v>4.3143488300836118E-11</c:v>
                </c:pt>
                <c:pt idx="2">
                  <c:v>3.8791000184994477E-11</c:v>
                </c:pt>
                <c:pt idx="3">
                  <c:v>2.9491559948255635E-11</c:v>
                </c:pt>
                <c:pt idx="4">
                  <c:v>1.8212339405250074E-11</c:v>
                </c:pt>
                <c:pt idx="5">
                  <c:v>1.084535320184052E-11</c:v>
                </c:pt>
                <c:pt idx="6">
                  <c:v>1.0881974113724058E-11</c:v>
                </c:pt>
                <c:pt idx="7">
                  <c:v>8.6956867974868858E-12</c:v>
                </c:pt>
                <c:pt idx="8">
                  <c:v>1.2801714699904506E-11</c:v>
                </c:pt>
                <c:pt idx="9">
                  <c:v>1.1831406136748008E-11</c:v>
                </c:pt>
                <c:pt idx="10">
                  <c:v>1.0634882709495139E-11</c:v>
                </c:pt>
                <c:pt idx="11">
                  <c:v>9.7711516880642763E-12</c:v>
                </c:pt>
                <c:pt idx="12">
                  <c:v>8.7288127816820852E-12</c:v>
                </c:pt>
                <c:pt idx="13">
                  <c:v>7.7243152841505894E-12</c:v>
                </c:pt>
                <c:pt idx="14">
                  <c:v>8.2036772348482593E-12</c:v>
                </c:pt>
                <c:pt idx="15">
                  <c:v>7.1016323057632666E-12</c:v>
                </c:pt>
                <c:pt idx="16">
                  <c:v>5.6806039664726756E-12</c:v>
                </c:pt>
                <c:pt idx="17">
                  <c:v>5.8353838362733444E-12</c:v>
                </c:pt>
                <c:pt idx="18">
                  <c:v>7.0766592020837393E-12</c:v>
                </c:pt>
                <c:pt idx="19">
                  <c:v>5.5763523948358762E-12</c:v>
                </c:pt>
                <c:pt idx="20">
                  <c:v>5.2001355440830676E-12</c:v>
                </c:pt>
                <c:pt idx="21">
                  <c:v>5.435814386151285E-12</c:v>
                </c:pt>
                <c:pt idx="22">
                  <c:v>4.1407002903118338E-12</c:v>
                </c:pt>
                <c:pt idx="23">
                  <c:v>4.3869326913981009E-12</c:v>
                </c:pt>
                <c:pt idx="24">
                  <c:v>3.2460506719571792E-12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43352"/>
        <c:axId val="170042960"/>
      </c:lineChart>
      <c:catAx>
        <c:axId val="170042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2568"/>
        <c:crosses val="autoZero"/>
        <c:auto val="1"/>
        <c:lblAlgn val="ctr"/>
        <c:lblOffset val="100"/>
        <c:noMultiLvlLbl val="0"/>
      </c:catAx>
      <c:valAx>
        <c:axId val="17004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2176"/>
        <c:crosses val="autoZero"/>
        <c:crossBetween val="between"/>
      </c:valAx>
      <c:valAx>
        <c:axId val="170042960"/>
        <c:scaling>
          <c:orientation val="minMax"/>
          <c:max val="6.0000000000000038E-11"/>
        </c:scaling>
        <c:delete val="0"/>
        <c:axPos val="r"/>
        <c:numFmt formatCode="0.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3352"/>
        <c:crosses val="max"/>
        <c:crossBetween val="between"/>
        <c:majorUnit val="1.0000000000000006E-11"/>
      </c:valAx>
      <c:catAx>
        <c:axId val="170043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042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05'!$D$36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 05'!$B$37:$B$61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05'!$D$37:$D$61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044136"/>
        <c:axId val="1700445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05'!$C$36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05'!$B$37:$B$61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05'!$C$37:$C$61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11.072051</c:v>
                      </c:pt>
                      <c:pt idx="1">
                        <c:v>14.555948000000001</c:v>
                      </c:pt>
                      <c:pt idx="2">
                        <c:v>8.8777670000000004</c:v>
                      </c:pt>
                      <c:pt idx="3">
                        <c:v>30.067668000000001</c:v>
                      </c:pt>
                      <c:pt idx="4">
                        <c:v>30.092663999999999</c:v>
                      </c:pt>
                      <c:pt idx="5">
                        <c:v>26.35585</c:v>
                      </c:pt>
                      <c:pt idx="6">
                        <c:v>33.721240000000002</c:v>
                      </c:pt>
                      <c:pt idx="7">
                        <c:v>28.083924</c:v>
                      </c:pt>
                      <c:pt idx="8">
                        <c:v>23.445456</c:v>
                      </c:pt>
                      <c:pt idx="9">
                        <c:v>22.130406000000001</c:v>
                      </c:pt>
                      <c:pt idx="10">
                        <c:v>17.19295</c:v>
                      </c:pt>
                      <c:pt idx="11">
                        <c:v>16.889787999999999</c:v>
                      </c:pt>
                      <c:pt idx="12">
                        <c:v>14.306723</c:v>
                      </c:pt>
                      <c:pt idx="13">
                        <c:v>16.921779000000001</c:v>
                      </c:pt>
                      <c:pt idx="14">
                        <c:v>22.815715000000001</c:v>
                      </c:pt>
                      <c:pt idx="15">
                        <c:v>25.711245000000002</c:v>
                      </c:pt>
                      <c:pt idx="16">
                        <c:v>37.885289</c:v>
                      </c:pt>
                      <c:pt idx="17">
                        <c:v>41.289866000000004</c:v>
                      </c:pt>
                      <c:pt idx="18">
                        <c:v>54.413074000000002</c:v>
                      </c:pt>
                      <c:pt idx="19">
                        <c:v>50.402794</c:v>
                      </c:pt>
                      <c:pt idx="20">
                        <c:v>73.516311000000002</c:v>
                      </c:pt>
                      <c:pt idx="21">
                        <c:v>92.507591000000005</c:v>
                      </c:pt>
                      <c:pt idx="22">
                        <c:v>115.993036</c:v>
                      </c:pt>
                      <c:pt idx="23">
                        <c:v>142.43887699999999</c:v>
                      </c:pt>
                      <c:pt idx="24">
                        <c:v>129.08264399999999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05'!$E$36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05'!$B$37:$B$61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05'!$E$37:$E$61</c:f>
              <c:numCache>
                <c:formatCode>0.000000000%</c:formatCode>
                <c:ptCount val="25"/>
                <c:pt idx="0">
                  <c:v>3.584737931999078E-10</c:v>
                </c:pt>
                <c:pt idx="1">
                  <c:v>3.9609336690905119E-10</c:v>
                </c:pt>
                <c:pt idx="2">
                  <c:v>1.639059718505614E-10</c:v>
                </c:pt>
                <c:pt idx="3">
                  <c:v>3.6395441295967029E-10</c:v>
                </c:pt>
                <c:pt idx="4">
                  <c:v>3.0871147911103891E-10</c:v>
                </c:pt>
                <c:pt idx="5">
                  <c:v>1.9181182422263225E-10</c:v>
                </c:pt>
                <c:pt idx="6">
                  <c:v>2.002443817987876E-10</c:v>
                </c:pt>
                <c:pt idx="7">
                  <c:v>1.5209748216353782E-10</c:v>
                </c:pt>
                <c:pt idx="8">
                  <c:v>1.2847019494650989E-10</c:v>
                </c:pt>
                <c:pt idx="9">
                  <c:v>1.2730476650674766E-10</c:v>
                </c:pt>
                <c:pt idx="10">
                  <c:v>1.0138993604802193E-10</c:v>
                </c:pt>
                <c:pt idx="11">
                  <c:v>8.7473837795262874E-11</c:v>
                </c:pt>
                <c:pt idx="12">
                  <c:v>7.0203559424216624E-11</c:v>
                </c:pt>
                <c:pt idx="13">
                  <c:v>7.6772175570939839E-11</c:v>
                </c:pt>
                <c:pt idx="14">
                  <c:v>8.9465080675446277E-11</c:v>
                </c:pt>
                <c:pt idx="15">
                  <c:v>8.8772862134652291E-11</c:v>
                </c:pt>
                <c:pt idx="16">
                  <c:v>1.1994081107799516E-10</c:v>
                </c:pt>
                <c:pt idx="17">
                  <c:v>1.1565966010739715E-10</c:v>
                </c:pt>
                <c:pt idx="18">
                  <c:v>1.3144405836124682E-10</c:v>
                </c:pt>
                <c:pt idx="19">
                  <c:v>1.0572627491267997E-10</c:v>
                </c:pt>
                <c:pt idx="20">
                  <c:v>1.6340397108911522E-10</c:v>
                </c:pt>
                <c:pt idx="21">
                  <c:v>1.8699428085000344E-10</c:v>
                </c:pt>
                <c:pt idx="22">
                  <c:v>1.9812752779358055E-10</c:v>
                </c:pt>
                <c:pt idx="23">
                  <c:v>2.3454085392545757E-10</c:v>
                </c:pt>
                <c:pt idx="24">
                  <c:v>2.0002538850974683E-10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45312"/>
        <c:axId val="170044920"/>
      </c:lineChart>
      <c:catAx>
        <c:axId val="170044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4528"/>
        <c:crosses val="autoZero"/>
        <c:auto val="1"/>
        <c:lblAlgn val="ctr"/>
        <c:lblOffset val="100"/>
        <c:noMultiLvlLbl val="0"/>
      </c:catAx>
      <c:valAx>
        <c:axId val="17004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4136"/>
        <c:crosses val="autoZero"/>
        <c:crossBetween val="between"/>
      </c:valAx>
      <c:valAx>
        <c:axId val="170044920"/>
        <c:scaling>
          <c:orientation val="minMax"/>
          <c:max val="4.0000000000000022E-10"/>
          <c:min val="0"/>
        </c:scaling>
        <c:delete val="0"/>
        <c:axPos val="r"/>
        <c:numFmt formatCode="0.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5312"/>
        <c:crosses val="max"/>
        <c:crossBetween val="between"/>
        <c:majorUnit val="8.0000000000000047E-11"/>
      </c:valAx>
      <c:catAx>
        <c:axId val="170045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044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 05'!$D$67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 05'!$B$68:$B$92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05'!$D$68:$D$92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046096"/>
        <c:axId val="170046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 05'!$C$67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 05'!$B$68:$B$92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 05'!$C$68:$C$92</c15:sqref>
                        </c15:formulaRef>
                      </c:ext>
                    </c:extLst>
                    <c:numCache>
                      <c:formatCode>"$"\ #,##0.0</c:formatCode>
                      <c:ptCount val="25"/>
                      <c:pt idx="0">
                        <c:v>186.107427</c:v>
                      </c:pt>
                      <c:pt idx="1">
                        <c:v>173.103004</c:v>
                      </c:pt>
                      <c:pt idx="2">
                        <c:v>218.984487</c:v>
                      </c:pt>
                      <c:pt idx="3">
                        <c:v>273.70874000000003</c:v>
                      </c:pt>
                      <c:pt idx="4">
                        <c:v>207.62341600000002</c:v>
                      </c:pt>
                      <c:pt idx="5">
                        <c:v>175.37612200000001</c:v>
                      </c:pt>
                      <c:pt idx="6">
                        <c:v>216.974152</c:v>
                      </c:pt>
                      <c:pt idx="7">
                        <c:v>188.64477199999999</c:v>
                      </c:pt>
                      <c:pt idx="8">
                        <c:v>257.073216</c:v>
                      </c:pt>
                      <c:pt idx="9">
                        <c:v>227.805204</c:v>
                      </c:pt>
                      <c:pt idx="10">
                        <c:v>197.53136799999999</c:v>
                      </c:pt>
                      <c:pt idx="11">
                        <c:v>205.55497600000001</c:v>
                      </c:pt>
                      <c:pt idx="12">
                        <c:v>192.190448</c:v>
                      </c:pt>
                      <c:pt idx="13">
                        <c:v>187.17767600000002</c:v>
                      </c:pt>
                      <c:pt idx="14">
                        <c:v>232.028919</c:v>
                      </c:pt>
                      <c:pt idx="15">
                        <c:v>231.395509</c:v>
                      </c:pt>
                      <c:pt idx="16">
                        <c:v>217.31656100000001</c:v>
                      </c:pt>
                      <c:pt idx="17">
                        <c:v>249.60987699999998</c:v>
                      </c:pt>
                      <c:pt idx="18">
                        <c:v>347.36110500000001</c:v>
                      </c:pt>
                      <c:pt idx="19">
                        <c:v>316.24375099999997</c:v>
                      </c:pt>
                      <c:pt idx="20">
                        <c:v>307.47316000000001</c:v>
                      </c:pt>
                      <c:pt idx="21">
                        <c:v>361.42174799999998</c:v>
                      </c:pt>
                      <c:pt idx="22">
                        <c:v>358.40881899999999</c:v>
                      </c:pt>
                      <c:pt idx="23">
                        <c:v>408.861445</c:v>
                      </c:pt>
                      <c:pt idx="24">
                        <c:v>338.56045399999999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 05'!$E$67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05'!$B$68:$B$92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 05'!$E$68:$E$92</c:f>
              <c:numCache>
                <c:formatCode>0.00000000%</c:formatCode>
                <c:ptCount val="25"/>
                <c:pt idx="0">
                  <c:v>3.01274963867873E-8</c:v>
                </c:pt>
                <c:pt idx="1">
                  <c:v>2.3552210984963315E-8</c:v>
                </c:pt>
                <c:pt idx="2">
                  <c:v>2.0215029951750044E-8</c:v>
                </c:pt>
                <c:pt idx="3">
                  <c:v>1.656555203892617E-8</c:v>
                </c:pt>
                <c:pt idx="4">
                  <c:v>1.0649727098180233E-8</c:v>
                </c:pt>
                <c:pt idx="5">
                  <c:v>6.3817357220334212E-9</c:v>
                </c:pt>
                <c:pt idx="6">
                  <c:v>6.4422089658559666E-9</c:v>
                </c:pt>
                <c:pt idx="7">
                  <c:v>5.1083308095611323E-9</c:v>
                </c:pt>
                <c:pt idx="8">
                  <c:v>7.0432083246848024E-9</c:v>
                </c:pt>
                <c:pt idx="9">
                  <c:v>6.5522269009077415E-9</c:v>
                </c:pt>
                <c:pt idx="10">
                  <c:v>5.8243910349876797E-9</c:v>
                </c:pt>
                <c:pt idx="11">
                  <c:v>5.3229450330084527E-9</c:v>
                </c:pt>
                <c:pt idx="12">
                  <c:v>4.7154241879621265E-9</c:v>
                </c:pt>
                <c:pt idx="13">
                  <c:v>4.2460185199299951E-9</c:v>
                </c:pt>
                <c:pt idx="14">
                  <c:v>4.5491640208013616E-9</c:v>
                </c:pt>
                <c:pt idx="15">
                  <c:v>3.994680463554894E-9</c:v>
                </c:pt>
                <c:pt idx="16">
                  <c:v>3.4400060386263137E-9</c:v>
                </c:pt>
                <c:pt idx="17">
                  <c:v>3.4959902186736579E-9</c:v>
                </c:pt>
                <c:pt idx="18">
                  <c:v>4.1955498928481034E-9</c:v>
                </c:pt>
                <c:pt idx="19">
                  <c:v>3.3168075719813378E-9</c:v>
                </c:pt>
                <c:pt idx="20">
                  <c:v>3.4170876274871099E-9</c:v>
                </c:pt>
                <c:pt idx="21">
                  <c:v>3.6528785973256596E-9</c:v>
                </c:pt>
                <c:pt idx="22">
                  <c:v>3.060987784123819E-9</c:v>
                </c:pt>
                <c:pt idx="23">
                  <c:v>3.3661706153263382E-9</c:v>
                </c:pt>
                <c:pt idx="24">
                  <c:v>2.6231522785273238E-9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47272"/>
        <c:axId val="170046880"/>
      </c:lineChart>
      <c:catAx>
        <c:axId val="17004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6488"/>
        <c:crosses val="autoZero"/>
        <c:auto val="1"/>
        <c:lblAlgn val="ctr"/>
        <c:lblOffset val="100"/>
        <c:noMultiLvlLbl val="0"/>
      </c:catAx>
      <c:valAx>
        <c:axId val="17004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6096"/>
        <c:crosses val="autoZero"/>
        <c:crossBetween val="between"/>
      </c:valAx>
      <c:valAx>
        <c:axId val="170046880"/>
        <c:scaling>
          <c:orientation val="minMax"/>
          <c:max val="3.5000000000000016E-8"/>
        </c:scaling>
        <c:delete val="0"/>
        <c:axPos val="r"/>
        <c:numFmt formatCode="0.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047272"/>
        <c:crosses val="max"/>
        <c:crossBetween val="between"/>
        <c:majorUnit val="7.000000000000004E-9"/>
      </c:valAx>
      <c:catAx>
        <c:axId val="170047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04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 06'!$B$1</c:f>
              <c:strCache>
                <c:ptCount val="1"/>
                <c:pt idx="0">
                  <c:v>Exportaciones  de Colombia a USA (US$ millones)</c:v>
                </c:pt>
              </c:strCache>
            </c:strRef>
          </c:tx>
          <c:invertIfNegative val="0"/>
          <c:cat>
            <c:numRef>
              <c:f>'Export 06'!$A$2:$A$26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06'!$B$2:$B$26</c:f>
              <c:numCache>
                <c:formatCode>0.0</c:formatCode>
                <c:ptCount val="25"/>
                <c:pt idx="0">
                  <c:v>34.710495999999999</c:v>
                </c:pt>
                <c:pt idx="1">
                  <c:v>31.046907999999998</c:v>
                </c:pt>
                <c:pt idx="2">
                  <c:v>38.090372000000002</c:v>
                </c:pt>
                <c:pt idx="3">
                  <c:v>47.060023999999999</c:v>
                </c:pt>
                <c:pt idx="4">
                  <c:v>41.068123999999997</c:v>
                </c:pt>
                <c:pt idx="5">
                  <c:v>60.505304000000002</c:v>
                </c:pt>
                <c:pt idx="6">
                  <c:v>51.986088000000002</c:v>
                </c:pt>
                <c:pt idx="7">
                  <c:v>66.543272000000002</c:v>
                </c:pt>
                <c:pt idx="8">
                  <c:v>35.998551999999997</c:v>
                </c:pt>
                <c:pt idx="9">
                  <c:v>31.175438</c:v>
                </c:pt>
                <c:pt idx="10">
                  <c:v>34.390827000000002</c:v>
                </c:pt>
                <c:pt idx="11">
                  <c:v>35.354666000000002</c:v>
                </c:pt>
                <c:pt idx="12">
                  <c:v>56.438361</c:v>
                </c:pt>
                <c:pt idx="13">
                  <c:v>50.564785000000001</c:v>
                </c:pt>
                <c:pt idx="14">
                  <c:v>58.066253000000003</c:v>
                </c:pt>
                <c:pt idx="15">
                  <c:v>74.293081999999998</c:v>
                </c:pt>
                <c:pt idx="16">
                  <c:v>31.500926</c:v>
                </c:pt>
                <c:pt idx="17">
                  <c:v>38.706232</c:v>
                </c:pt>
                <c:pt idx="18">
                  <c:v>60.260446999999999</c:v>
                </c:pt>
                <c:pt idx="19">
                  <c:v>87.062790000000007</c:v>
                </c:pt>
                <c:pt idx="20">
                  <c:v>66.103155999999998</c:v>
                </c:pt>
                <c:pt idx="21">
                  <c:v>89.009129999999999</c:v>
                </c:pt>
                <c:pt idx="22">
                  <c:v>55.238146</c:v>
                </c:pt>
                <c:pt idx="23">
                  <c:v>97.503679000000005</c:v>
                </c:pt>
                <c:pt idx="24">
                  <c:v>81.490409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48056"/>
        <c:axId val="170048448"/>
      </c:barChart>
      <c:catAx>
        <c:axId val="170048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048448"/>
        <c:crosses val="autoZero"/>
        <c:auto val="1"/>
        <c:lblAlgn val="ctr"/>
        <c:lblOffset val="100"/>
        <c:noMultiLvlLbl val="0"/>
      </c:catAx>
      <c:valAx>
        <c:axId val="170048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 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0048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'Import 06'!$A$2:$A$26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06'!$B$2:$B$26</c:f>
              <c:numCache>
                <c:formatCode>0.0</c:formatCode>
                <c:ptCount val="25"/>
                <c:pt idx="0">
                  <c:v>1.612754</c:v>
                </c:pt>
                <c:pt idx="1">
                  <c:v>1.884484</c:v>
                </c:pt>
                <c:pt idx="2">
                  <c:v>1.8790500000000001</c:v>
                </c:pt>
                <c:pt idx="3">
                  <c:v>4.0806300000000002</c:v>
                </c:pt>
                <c:pt idx="4">
                  <c:v>3.769444</c:v>
                </c:pt>
                <c:pt idx="5">
                  <c:v>4.6539869999999999</c:v>
                </c:pt>
                <c:pt idx="6">
                  <c:v>4.695678</c:v>
                </c:pt>
                <c:pt idx="7">
                  <c:v>5.3708989999999996</c:v>
                </c:pt>
                <c:pt idx="8">
                  <c:v>5.4972760000000003</c:v>
                </c:pt>
                <c:pt idx="9">
                  <c:v>4.1571689999999997</c:v>
                </c:pt>
                <c:pt idx="10">
                  <c:v>4.3950699999999996</c:v>
                </c:pt>
                <c:pt idx="11">
                  <c:v>3.5804529999999999</c:v>
                </c:pt>
                <c:pt idx="12">
                  <c:v>3.0722160000000001</c:v>
                </c:pt>
                <c:pt idx="13">
                  <c:v>4.047784</c:v>
                </c:pt>
                <c:pt idx="14">
                  <c:v>4.8815289999999996</c:v>
                </c:pt>
                <c:pt idx="15">
                  <c:v>7.2342979999999999</c:v>
                </c:pt>
                <c:pt idx="16">
                  <c:v>11.497343000000001</c:v>
                </c:pt>
                <c:pt idx="17">
                  <c:v>11.216604</c:v>
                </c:pt>
                <c:pt idx="18">
                  <c:v>6.9827849999999998</c:v>
                </c:pt>
                <c:pt idx="19">
                  <c:v>7.0415270000000003</c:v>
                </c:pt>
                <c:pt idx="20">
                  <c:v>9.4157279999999997</c:v>
                </c:pt>
                <c:pt idx="21">
                  <c:v>16.035523999999999</c:v>
                </c:pt>
                <c:pt idx="22">
                  <c:v>16.125896000000001</c:v>
                </c:pt>
                <c:pt idx="23">
                  <c:v>15.409177</c:v>
                </c:pt>
                <c:pt idx="24">
                  <c:v>13.362054000000001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066368"/>
        <c:axId val="448066760"/>
      </c:lineChart>
      <c:catAx>
        <c:axId val="44806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8066760"/>
        <c:crosses val="autoZero"/>
        <c:auto val="1"/>
        <c:lblAlgn val="ctr"/>
        <c:lblOffset val="100"/>
        <c:noMultiLvlLbl val="0"/>
      </c:catAx>
      <c:valAx>
        <c:axId val="448066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4806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'Balanza c 06'!$A$2:$A$26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06'!$B$2:$B$26</c:f>
              <c:numCache>
                <c:formatCode>[$$-409]#,##0.0</c:formatCode>
                <c:ptCount val="25"/>
                <c:pt idx="0">
                  <c:v>33.097741999999997</c:v>
                </c:pt>
                <c:pt idx="1">
                  <c:v>29.162423999999998</c:v>
                </c:pt>
                <c:pt idx="2">
                  <c:v>36.211322000000003</c:v>
                </c:pt>
                <c:pt idx="3">
                  <c:v>42.979393999999999</c:v>
                </c:pt>
                <c:pt idx="4">
                  <c:v>37.298679999999997</c:v>
                </c:pt>
                <c:pt idx="5">
                  <c:v>55.851317000000002</c:v>
                </c:pt>
                <c:pt idx="6">
                  <c:v>47.290410000000001</c:v>
                </c:pt>
                <c:pt idx="7">
                  <c:v>61.172373</c:v>
                </c:pt>
                <c:pt idx="8">
                  <c:v>30.501275999999997</c:v>
                </c:pt>
                <c:pt idx="9">
                  <c:v>27.018269</c:v>
                </c:pt>
                <c:pt idx="10">
                  <c:v>29.995757000000001</c:v>
                </c:pt>
                <c:pt idx="11">
                  <c:v>31.774213000000003</c:v>
                </c:pt>
                <c:pt idx="12">
                  <c:v>53.366145000000003</c:v>
                </c:pt>
                <c:pt idx="13">
                  <c:v>46.517001</c:v>
                </c:pt>
                <c:pt idx="14">
                  <c:v>53.184724000000003</c:v>
                </c:pt>
                <c:pt idx="15">
                  <c:v>67.058784000000003</c:v>
                </c:pt>
                <c:pt idx="16">
                  <c:v>20.003582999999999</c:v>
                </c:pt>
                <c:pt idx="17">
                  <c:v>27.489628</c:v>
                </c:pt>
                <c:pt idx="18">
                  <c:v>53.277661999999999</c:v>
                </c:pt>
                <c:pt idx="19">
                  <c:v>80.021263000000005</c:v>
                </c:pt>
                <c:pt idx="20">
                  <c:v>56.687427999999997</c:v>
                </c:pt>
                <c:pt idx="21">
                  <c:v>72.973606000000004</c:v>
                </c:pt>
                <c:pt idx="22">
                  <c:v>39.112250000000003</c:v>
                </c:pt>
                <c:pt idx="23">
                  <c:v>82.094502000000006</c:v>
                </c:pt>
                <c:pt idx="24">
                  <c:v>68.128354999999999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067544"/>
        <c:axId val="448067936"/>
      </c:lineChart>
      <c:catAx>
        <c:axId val="448067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8067936"/>
        <c:crosses val="autoZero"/>
        <c:auto val="1"/>
        <c:lblAlgn val="ctr"/>
        <c:lblOffset val="100"/>
        <c:noMultiLvlLbl val="0"/>
      </c:catAx>
      <c:valAx>
        <c:axId val="448067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Millones de dólares</a:t>
                </a:r>
              </a:p>
            </c:rich>
          </c:tx>
          <c:overlay val="0"/>
        </c:title>
        <c:numFmt formatCode="[$$-409]#,##0.0" sourceLinked="1"/>
        <c:majorTickMark val="out"/>
        <c:minorTickMark val="none"/>
        <c:tickLblPos val="nextTo"/>
        <c:crossAx val="448067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24.xml"/><Relationship Id="rId12" Type="http://schemas.openxmlformats.org/officeDocument/2006/relationships/chart" Target="../charts/chart27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3.xml"/><Relationship Id="rId11" Type="http://schemas.openxmlformats.org/officeDocument/2006/relationships/image" Target="../media/image5.png"/><Relationship Id="rId5" Type="http://schemas.openxmlformats.org/officeDocument/2006/relationships/chart" Target="../charts/chart22.xml"/><Relationship Id="rId10" Type="http://schemas.openxmlformats.org/officeDocument/2006/relationships/chart" Target="../charts/chart26.xml"/><Relationship Id="rId4" Type="http://schemas.openxmlformats.org/officeDocument/2006/relationships/image" Target="../media/image3.png"/><Relationship Id="rId9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image" Target="../media/image9.png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40.xml"/><Relationship Id="rId12" Type="http://schemas.openxmlformats.org/officeDocument/2006/relationships/chart" Target="../charts/chart43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39.xml"/><Relationship Id="rId11" Type="http://schemas.openxmlformats.org/officeDocument/2006/relationships/image" Target="../media/image5.png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image" Target="../media/image3.png"/><Relationship Id="rId9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image" Target="../media/image9.png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56.xml"/><Relationship Id="rId12" Type="http://schemas.openxmlformats.org/officeDocument/2006/relationships/chart" Target="../charts/chart59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5.xml"/><Relationship Id="rId11" Type="http://schemas.openxmlformats.org/officeDocument/2006/relationships/image" Target="../media/image5.png"/><Relationship Id="rId5" Type="http://schemas.openxmlformats.org/officeDocument/2006/relationships/chart" Target="../charts/chart54.xml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image" Target="../media/image9.png"/><Relationship Id="rId1" Type="http://schemas.openxmlformats.org/officeDocument/2006/relationships/chart" Target="../charts/chart62.xml"/><Relationship Id="rId6" Type="http://schemas.openxmlformats.org/officeDocument/2006/relationships/chart" Target="../charts/chart64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72.xml"/><Relationship Id="rId12" Type="http://schemas.openxmlformats.org/officeDocument/2006/relationships/chart" Target="../charts/chart75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1.xml"/><Relationship Id="rId11" Type="http://schemas.openxmlformats.org/officeDocument/2006/relationships/image" Target="../media/image5.png"/><Relationship Id="rId5" Type="http://schemas.openxmlformats.org/officeDocument/2006/relationships/chart" Target="../charts/chart70.xml"/><Relationship Id="rId10" Type="http://schemas.openxmlformats.org/officeDocument/2006/relationships/chart" Target="../charts/chart74.xml"/><Relationship Id="rId4" Type="http://schemas.openxmlformats.org/officeDocument/2006/relationships/image" Target="../media/image3.png"/><Relationship Id="rId9" Type="http://schemas.openxmlformats.org/officeDocument/2006/relationships/chart" Target="../charts/chart73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image" Target="../media/image9.png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3.xml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88.xml"/><Relationship Id="rId12" Type="http://schemas.openxmlformats.org/officeDocument/2006/relationships/chart" Target="../charts/chart91.xml"/><Relationship Id="rId2" Type="http://schemas.openxmlformats.org/officeDocument/2006/relationships/chart" Target="../charts/chart85.xml"/><Relationship Id="rId1" Type="http://schemas.openxmlformats.org/officeDocument/2006/relationships/chart" Target="../charts/chart84.xml"/><Relationship Id="rId6" Type="http://schemas.openxmlformats.org/officeDocument/2006/relationships/chart" Target="../charts/chart87.xml"/><Relationship Id="rId11" Type="http://schemas.openxmlformats.org/officeDocument/2006/relationships/image" Target="../media/image5.png"/><Relationship Id="rId5" Type="http://schemas.openxmlformats.org/officeDocument/2006/relationships/chart" Target="../charts/chart86.xml"/><Relationship Id="rId10" Type="http://schemas.openxmlformats.org/officeDocument/2006/relationships/chart" Target="../charts/chart90.xml"/><Relationship Id="rId4" Type="http://schemas.openxmlformats.org/officeDocument/2006/relationships/image" Target="../media/image3.png"/><Relationship Id="rId9" Type="http://schemas.openxmlformats.org/officeDocument/2006/relationships/chart" Target="../charts/chart8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8.xml"/><Relationship Id="rId12" Type="http://schemas.openxmlformats.org/officeDocument/2006/relationships/chart" Target="../charts/chart11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7.xml"/><Relationship Id="rId11" Type="http://schemas.openxmlformats.org/officeDocument/2006/relationships/image" Target="../media/image5.png"/><Relationship Id="rId5" Type="http://schemas.openxmlformats.org/officeDocument/2006/relationships/chart" Target="../charts/chart6.xml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93.xml"/><Relationship Id="rId1" Type="http://schemas.openxmlformats.org/officeDocument/2006/relationships/chart" Target="../charts/chart92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image" Target="../media/image9.png"/><Relationship Id="rId1" Type="http://schemas.openxmlformats.org/officeDocument/2006/relationships/chart" Target="../charts/chart94.xml"/><Relationship Id="rId6" Type="http://schemas.openxmlformats.org/officeDocument/2006/relationships/chart" Target="../charts/chart96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9.xml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104.xml"/><Relationship Id="rId12" Type="http://schemas.openxmlformats.org/officeDocument/2006/relationships/chart" Target="../charts/chart107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3.xml"/><Relationship Id="rId11" Type="http://schemas.openxmlformats.org/officeDocument/2006/relationships/image" Target="../media/image5.png"/><Relationship Id="rId5" Type="http://schemas.openxmlformats.org/officeDocument/2006/relationships/chart" Target="../charts/chart102.xml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9.xml"/><Relationship Id="rId1" Type="http://schemas.openxmlformats.org/officeDocument/2006/relationships/chart" Target="../charts/chart108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image" Target="../media/image9.png"/><Relationship Id="rId1" Type="http://schemas.openxmlformats.org/officeDocument/2006/relationships/chart" Target="../charts/chart110.xml"/><Relationship Id="rId6" Type="http://schemas.openxmlformats.org/officeDocument/2006/relationships/chart" Target="../charts/chart112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5.xml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120.xml"/><Relationship Id="rId12" Type="http://schemas.openxmlformats.org/officeDocument/2006/relationships/chart" Target="../charts/chart123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6" Type="http://schemas.openxmlformats.org/officeDocument/2006/relationships/chart" Target="../charts/chart119.xml"/><Relationship Id="rId11" Type="http://schemas.openxmlformats.org/officeDocument/2006/relationships/image" Target="../media/image5.png"/><Relationship Id="rId5" Type="http://schemas.openxmlformats.org/officeDocument/2006/relationships/chart" Target="../charts/chart118.xml"/><Relationship Id="rId10" Type="http://schemas.openxmlformats.org/officeDocument/2006/relationships/chart" Target="../charts/chart122.xml"/><Relationship Id="rId4" Type="http://schemas.openxmlformats.org/officeDocument/2006/relationships/image" Target="../media/image3.png"/><Relationship Id="rId9" Type="http://schemas.openxmlformats.org/officeDocument/2006/relationships/chart" Target="../charts/chart121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5.xml"/><Relationship Id="rId1" Type="http://schemas.openxmlformats.org/officeDocument/2006/relationships/chart" Target="../charts/chart124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7.xml"/><Relationship Id="rId2" Type="http://schemas.openxmlformats.org/officeDocument/2006/relationships/image" Target="../media/image9.png"/><Relationship Id="rId1" Type="http://schemas.openxmlformats.org/officeDocument/2006/relationships/chart" Target="../charts/chart126.xml"/><Relationship Id="rId6" Type="http://schemas.openxmlformats.org/officeDocument/2006/relationships/chart" Target="../charts/chart128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1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9.png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136.xml"/><Relationship Id="rId12" Type="http://schemas.openxmlformats.org/officeDocument/2006/relationships/chart" Target="../charts/chart139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Relationship Id="rId6" Type="http://schemas.openxmlformats.org/officeDocument/2006/relationships/chart" Target="../charts/chart135.xml"/><Relationship Id="rId11" Type="http://schemas.openxmlformats.org/officeDocument/2006/relationships/image" Target="../media/image5.png"/><Relationship Id="rId5" Type="http://schemas.openxmlformats.org/officeDocument/2006/relationships/chart" Target="../charts/chart134.xml"/><Relationship Id="rId10" Type="http://schemas.openxmlformats.org/officeDocument/2006/relationships/chart" Target="../charts/chart138.xml"/><Relationship Id="rId4" Type="http://schemas.openxmlformats.org/officeDocument/2006/relationships/image" Target="../media/image3.png"/><Relationship Id="rId9" Type="http://schemas.openxmlformats.org/officeDocument/2006/relationships/chart" Target="../charts/chart137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41.xml"/><Relationship Id="rId1" Type="http://schemas.openxmlformats.org/officeDocument/2006/relationships/chart" Target="../charts/chart140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3.xml"/><Relationship Id="rId2" Type="http://schemas.openxmlformats.org/officeDocument/2006/relationships/image" Target="../media/image9.png"/><Relationship Id="rId1" Type="http://schemas.openxmlformats.org/officeDocument/2006/relationships/chart" Target="../charts/chart142.xml"/><Relationship Id="rId6" Type="http://schemas.openxmlformats.org/officeDocument/2006/relationships/chart" Target="../charts/chart144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6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151.xml"/><Relationship Id="rId12" Type="http://schemas.openxmlformats.org/officeDocument/2006/relationships/chart" Target="../charts/chart154.xml"/><Relationship Id="rId2" Type="http://schemas.openxmlformats.org/officeDocument/2006/relationships/chart" Target="../charts/chart148.xml"/><Relationship Id="rId1" Type="http://schemas.openxmlformats.org/officeDocument/2006/relationships/chart" Target="../charts/chart147.xml"/><Relationship Id="rId6" Type="http://schemas.openxmlformats.org/officeDocument/2006/relationships/chart" Target="../charts/chart150.xml"/><Relationship Id="rId11" Type="http://schemas.openxmlformats.org/officeDocument/2006/relationships/image" Target="../media/image5.png"/><Relationship Id="rId5" Type="http://schemas.openxmlformats.org/officeDocument/2006/relationships/chart" Target="../charts/chart149.xml"/><Relationship Id="rId10" Type="http://schemas.openxmlformats.org/officeDocument/2006/relationships/chart" Target="../charts/chart153.xml"/><Relationship Id="rId4" Type="http://schemas.openxmlformats.org/officeDocument/2006/relationships/image" Target="../media/image3.png"/><Relationship Id="rId9" Type="http://schemas.openxmlformats.org/officeDocument/2006/relationships/chart" Target="../charts/chart152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5.xml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57.xml"/><Relationship Id="rId1" Type="http://schemas.openxmlformats.org/officeDocument/2006/relationships/chart" Target="../charts/chart156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9.xml"/><Relationship Id="rId2" Type="http://schemas.openxmlformats.org/officeDocument/2006/relationships/image" Target="../media/image9.png"/><Relationship Id="rId1" Type="http://schemas.openxmlformats.org/officeDocument/2006/relationships/chart" Target="../charts/chart158.xml"/><Relationship Id="rId6" Type="http://schemas.openxmlformats.org/officeDocument/2006/relationships/chart" Target="../charts/chart16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0</xdr:row>
      <xdr:rowOff>647700</xdr:rowOff>
    </xdr:from>
    <xdr:to>
      <xdr:col>11</xdr:col>
      <xdr:colOff>47625</xdr:colOff>
      <xdr:row>16</xdr:row>
      <xdr:rowOff>19050</xdr:rowOff>
    </xdr:to>
    <xdr:graphicFrame macro="">
      <xdr:nvGraphicFramePr>
        <xdr:cNvPr id="2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4" y="120967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5</xdr:row>
      <xdr:rowOff>19050</xdr:rowOff>
    </xdr:from>
    <xdr:to>
      <xdr:col>10</xdr:col>
      <xdr:colOff>666750</xdr:colOff>
      <xdr:row>20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038350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153400"/>
          <a:ext cx="8001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20412075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3068300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6765250"/>
          <a:ext cx="8477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32880300"/>
          <a:ext cx="8477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9471600"/>
          <a:ext cx="847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5996225"/>
          <a:ext cx="847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352422</xdr:colOff>
      <xdr:row>11</xdr:row>
      <xdr:rowOff>57149</xdr:rowOff>
    </xdr:from>
    <xdr:to>
      <xdr:col>16</xdr:col>
      <xdr:colOff>642936</xdr:colOff>
      <xdr:row>30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95262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21121687"/>
          <a:ext cx="4548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8179594"/>
          <a:ext cx="571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7348657"/>
          <a:ext cx="5691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9" y="14823281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4016156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52675"/>
          <a:ext cx="9429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8705850"/>
          <a:ext cx="8858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5287625"/>
          <a:ext cx="11525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3036" y="2878667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3011" y="998590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6419" y="15625762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361949</xdr:rowOff>
    </xdr:from>
    <xdr:to>
      <xdr:col>11</xdr:col>
      <xdr:colOff>666750</xdr:colOff>
      <xdr:row>19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790575</xdr:rowOff>
    </xdr:from>
    <xdr:to>
      <xdr:col>10</xdr:col>
      <xdr:colOff>285750</xdr:colOff>
      <xdr:row>15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4" y="134302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5</xdr:row>
      <xdr:rowOff>19050</xdr:rowOff>
    </xdr:from>
    <xdr:to>
      <xdr:col>10</xdr:col>
      <xdr:colOff>666750</xdr:colOff>
      <xdr:row>20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38350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8153400"/>
          <a:ext cx="8001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0221575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3068300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26574750"/>
          <a:ext cx="8477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32499300"/>
          <a:ext cx="8477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38900100"/>
          <a:ext cx="847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45234225"/>
          <a:ext cx="847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352422</xdr:colOff>
      <xdr:row>11</xdr:row>
      <xdr:rowOff>57149</xdr:rowOff>
    </xdr:from>
    <xdr:to>
      <xdr:col>16</xdr:col>
      <xdr:colOff>642936</xdr:colOff>
      <xdr:row>30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95262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21121687"/>
          <a:ext cx="4548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8179594"/>
          <a:ext cx="571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7348657"/>
          <a:ext cx="5691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9" y="14823281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4016156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771525</xdr:rowOff>
    </xdr:from>
    <xdr:to>
      <xdr:col>9</xdr:col>
      <xdr:colOff>600075</xdr:colOff>
      <xdr:row>15</xdr:row>
      <xdr:rowOff>133350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52675"/>
          <a:ext cx="9429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8705850"/>
          <a:ext cx="8858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5478125"/>
          <a:ext cx="11525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3036" y="2878667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3011" y="998590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6419" y="15625762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361949</xdr:rowOff>
    </xdr:from>
    <xdr:to>
      <xdr:col>11</xdr:col>
      <xdr:colOff>666750</xdr:colOff>
      <xdr:row>19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790575</xdr:rowOff>
    </xdr:from>
    <xdr:to>
      <xdr:col>10</xdr:col>
      <xdr:colOff>285750</xdr:colOff>
      <xdr:row>15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4" y="134302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5</xdr:row>
      <xdr:rowOff>19050</xdr:rowOff>
    </xdr:from>
    <xdr:to>
      <xdr:col>10</xdr:col>
      <xdr:colOff>666750</xdr:colOff>
      <xdr:row>20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38350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8153400"/>
          <a:ext cx="8001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0412075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3068300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26765250"/>
          <a:ext cx="8477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32689800"/>
          <a:ext cx="8477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39090600"/>
          <a:ext cx="847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45424725"/>
          <a:ext cx="847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352422</xdr:colOff>
      <xdr:row>11</xdr:row>
      <xdr:rowOff>57149</xdr:rowOff>
    </xdr:from>
    <xdr:to>
      <xdr:col>16</xdr:col>
      <xdr:colOff>642936</xdr:colOff>
      <xdr:row>30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95262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21121687"/>
          <a:ext cx="4548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8179594"/>
          <a:ext cx="571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7348657"/>
          <a:ext cx="5691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9" y="14823281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4016156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533525"/>
          <a:ext cx="15811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5675"/>
          <a:ext cx="1524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115925"/>
          <a:ext cx="1790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3036" y="2878667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3011" y="998590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6419" y="15625762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361949</xdr:rowOff>
    </xdr:from>
    <xdr:to>
      <xdr:col>11</xdr:col>
      <xdr:colOff>666750</xdr:colOff>
      <xdr:row>19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4" y="120967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609600</xdr:colOff>
      <xdr:row>4</xdr:row>
      <xdr:rowOff>47625</xdr:rowOff>
    </xdr:from>
    <xdr:to>
      <xdr:col>11</xdr:col>
      <xdr:colOff>76200</xdr:colOff>
      <xdr:row>19</xdr:row>
      <xdr:rowOff>180975</xdr:rowOff>
    </xdr:to>
    <xdr:graphicFrame macro="">
      <xdr:nvGraphicFramePr>
        <xdr:cNvPr id="4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790575</xdr:rowOff>
    </xdr:from>
    <xdr:to>
      <xdr:col>10</xdr:col>
      <xdr:colOff>285750</xdr:colOff>
      <xdr:row>15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4" y="58102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5</xdr:row>
      <xdr:rowOff>19050</xdr:rowOff>
    </xdr:from>
    <xdr:to>
      <xdr:col>10</xdr:col>
      <xdr:colOff>666750</xdr:colOff>
      <xdr:row>20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45732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00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830705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191577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4079200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961322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352425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09956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352422</xdr:colOff>
      <xdr:row>11</xdr:row>
      <xdr:rowOff>57149</xdr:rowOff>
    </xdr:from>
    <xdr:to>
      <xdr:col>16</xdr:col>
      <xdr:colOff>642936</xdr:colOff>
      <xdr:row>30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843" y="1381125"/>
          <a:ext cx="1095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18645187"/>
          <a:ext cx="15597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7036594"/>
          <a:ext cx="16764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4300657"/>
          <a:ext cx="11406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12918281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206156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533525"/>
          <a:ext cx="15811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5675"/>
          <a:ext cx="1524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115925"/>
          <a:ext cx="1790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461" y="1916642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436" y="806185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3844" y="12930187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361949</xdr:rowOff>
    </xdr:from>
    <xdr:to>
      <xdr:col>11</xdr:col>
      <xdr:colOff>666750</xdr:colOff>
      <xdr:row>19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790575</xdr:rowOff>
    </xdr:from>
    <xdr:to>
      <xdr:col>10</xdr:col>
      <xdr:colOff>285750</xdr:colOff>
      <xdr:row>15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4" y="58102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5</xdr:row>
      <xdr:rowOff>19050</xdr:rowOff>
    </xdr:from>
    <xdr:to>
      <xdr:col>10</xdr:col>
      <xdr:colOff>666750</xdr:colOff>
      <xdr:row>20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45732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00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830705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191577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4079200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961322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352425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09956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038350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153400"/>
          <a:ext cx="8001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20412075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3068300"/>
          <a:ext cx="895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6765250"/>
          <a:ext cx="8477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32880300"/>
          <a:ext cx="8477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9471600"/>
          <a:ext cx="847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5996225"/>
          <a:ext cx="847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352422</xdr:colOff>
      <xdr:row>11</xdr:row>
      <xdr:rowOff>57149</xdr:rowOff>
    </xdr:from>
    <xdr:to>
      <xdr:col>16</xdr:col>
      <xdr:colOff>642936</xdr:colOff>
      <xdr:row>30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843" y="1381125"/>
          <a:ext cx="1095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18645187"/>
          <a:ext cx="15597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7036594"/>
          <a:ext cx="16764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4300657"/>
          <a:ext cx="11406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12918281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206156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533525"/>
          <a:ext cx="15811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5675"/>
          <a:ext cx="1524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115925"/>
          <a:ext cx="1790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461" y="1916642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436" y="806185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3844" y="12930187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361949</xdr:rowOff>
    </xdr:from>
    <xdr:to>
      <xdr:col>11</xdr:col>
      <xdr:colOff>666750</xdr:colOff>
      <xdr:row>19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790575</xdr:rowOff>
    </xdr:from>
    <xdr:to>
      <xdr:col>10</xdr:col>
      <xdr:colOff>285750</xdr:colOff>
      <xdr:row>15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4" y="58102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5</xdr:row>
      <xdr:rowOff>19050</xdr:rowOff>
    </xdr:from>
    <xdr:to>
      <xdr:col>10</xdr:col>
      <xdr:colOff>666750</xdr:colOff>
      <xdr:row>20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45732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00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830705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191577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4079200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961322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352425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09956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352422</xdr:colOff>
      <xdr:row>11</xdr:row>
      <xdr:rowOff>57149</xdr:rowOff>
    </xdr:from>
    <xdr:to>
      <xdr:col>16</xdr:col>
      <xdr:colOff>642936</xdr:colOff>
      <xdr:row>30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843" y="1381125"/>
          <a:ext cx="1095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18645187"/>
          <a:ext cx="15597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7036594"/>
          <a:ext cx="16764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4300657"/>
          <a:ext cx="11406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12918281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206156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533525"/>
          <a:ext cx="15811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5675"/>
          <a:ext cx="1524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115925"/>
          <a:ext cx="1790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461" y="1916642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436" y="806185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3844" y="12930187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126203</xdr:colOff>
      <xdr:row>13</xdr:row>
      <xdr:rowOff>9524</xdr:rowOff>
    </xdr:from>
    <xdr:to>
      <xdr:col>15</xdr:col>
      <xdr:colOff>416717</xdr:colOff>
      <xdr:row>32</xdr:row>
      <xdr:rowOff>4762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95262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20931187"/>
          <a:ext cx="4548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8179594"/>
          <a:ext cx="571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7158157"/>
          <a:ext cx="5691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9" y="14632781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3444656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361949</xdr:rowOff>
    </xdr:from>
    <xdr:to>
      <xdr:col>11</xdr:col>
      <xdr:colOff>666750</xdr:colOff>
      <xdr:row>19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790575</xdr:rowOff>
    </xdr:from>
    <xdr:to>
      <xdr:col>10</xdr:col>
      <xdr:colOff>285750</xdr:colOff>
      <xdr:row>15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4" y="58102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5</xdr:row>
      <xdr:rowOff>19050</xdr:rowOff>
    </xdr:from>
    <xdr:to>
      <xdr:col>10</xdr:col>
      <xdr:colOff>666750</xdr:colOff>
      <xdr:row>20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45732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00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830705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191577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4079200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961322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352425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09956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352422</xdr:colOff>
      <xdr:row>11</xdr:row>
      <xdr:rowOff>57149</xdr:rowOff>
    </xdr:from>
    <xdr:to>
      <xdr:col>16</xdr:col>
      <xdr:colOff>642936</xdr:colOff>
      <xdr:row>30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843" y="1381125"/>
          <a:ext cx="1095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18645187"/>
          <a:ext cx="15597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7036594"/>
          <a:ext cx="16764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4300657"/>
          <a:ext cx="11406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12918281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206156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533525"/>
          <a:ext cx="15811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5675"/>
          <a:ext cx="1524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115925"/>
          <a:ext cx="1790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461" y="1916642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436" y="806185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3844" y="12930187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361949</xdr:rowOff>
    </xdr:from>
    <xdr:to>
      <xdr:col>11</xdr:col>
      <xdr:colOff>666750</xdr:colOff>
      <xdr:row>19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790575</xdr:rowOff>
    </xdr:from>
    <xdr:to>
      <xdr:col>10</xdr:col>
      <xdr:colOff>285750</xdr:colOff>
      <xdr:row>15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4" y="58102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5</xdr:row>
      <xdr:rowOff>19050</xdr:rowOff>
    </xdr:from>
    <xdr:to>
      <xdr:col>10</xdr:col>
      <xdr:colOff>666750</xdr:colOff>
      <xdr:row>20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2352675"/>
          <a:ext cx="9429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8705850"/>
          <a:ext cx="8858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5478125"/>
          <a:ext cx="11525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45732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00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830705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191577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4079200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961322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352425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09956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352422</xdr:colOff>
      <xdr:row>11</xdr:row>
      <xdr:rowOff>57149</xdr:rowOff>
    </xdr:from>
    <xdr:to>
      <xdr:col>16</xdr:col>
      <xdr:colOff>642936</xdr:colOff>
      <xdr:row>30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843" y="1381125"/>
          <a:ext cx="1095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18645187"/>
          <a:ext cx="15597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7036594"/>
          <a:ext cx="16764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4300657"/>
          <a:ext cx="11406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12918281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206156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533525"/>
          <a:ext cx="15811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5675"/>
          <a:ext cx="1524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115925"/>
          <a:ext cx="1790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461" y="1916642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436" y="806185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3844" y="12930187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361949</xdr:rowOff>
    </xdr:from>
    <xdr:to>
      <xdr:col>11</xdr:col>
      <xdr:colOff>666750</xdr:colOff>
      <xdr:row>19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790575</xdr:rowOff>
    </xdr:from>
    <xdr:to>
      <xdr:col>10</xdr:col>
      <xdr:colOff>285750</xdr:colOff>
      <xdr:row>15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45732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00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830705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191577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4079200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704850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961322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352425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09956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9525</xdr:rowOff>
    </xdr:from>
    <xdr:to>
      <xdr:col>6</xdr:col>
      <xdr:colOff>352425</xdr:colOff>
      <xdr:row>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4" y="58102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5</xdr:row>
      <xdr:rowOff>19050</xdr:rowOff>
    </xdr:from>
    <xdr:to>
      <xdr:col>10</xdr:col>
      <xdr:colOff>666750</xdr:colOff>
      <xdr:row>20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352422</xdr:colOff>
      <xdr:row>11</xdr:row>
      <xdr:rowOff>57149</xdr:rowOff>
    </xdr:from>
    <xdr:to>
      <xdr:col>16</xdr:col>
      <xdr:colOff>642936</xdr:colOff>
      <xdr:row>30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843" y="1381125"/>
          <a:ext cx="1095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18645187"/>
          <a:ext cx="15597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7036594"/>
          <a:ext cx="16764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4300657"/>
          <a:ext cx="11406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12918281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206156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533525"/>
          <a:ext cx="15811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514349</xdr:colOff>
      <xdr:row>40</xdr:row>
      <xdr:rowOff>90487</xdr:rowOff>
    </xdr:from>
    <xdr:to>
      <xdr:col>15</xdr:col>
      <xdr:colOff>28574</xdr:colOff>
      <xdr:row>55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5675"/>
          <a:ext cx="1524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115925"/>
          <a:ext cx="1790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736" y="3259667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8711" y="998590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6407" y="15632906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212461</xdr:colOff>
      <xdr:row>10</xdr:row>
      <xdr:rowOff>11642</xdr:rowOff>
    </xdr:from>
    <xdr:to>
      <xdr:col>16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461" y="1916642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436" y="806185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273844</xdr:colOff>
      <xdr:row>67</xdr:row>
      <xdr:rowOff>166687</xdr:rowOff>
    </xdr:from>
    <xdr:to>
      <xdr:col>17</xdr:col>
      <xdr:colOff>321469</xdr:colOff>
      <xdr:row>70</xdr:row>
      <xdr:rowOff>33337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3844" y="12930187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571499</xdr:rowOff>
    </xdr:from>
    <xdr:to>
      <xdr:col>11</xdr:col>
      <xdr:colOff>47625</xdr:colOff>
      <xdr:row>20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771525</xdr:rowOff>
    </xdr:from>
    <xdr:to>
      <xdr:col>9</xdr:col>
      <xdr:colOff>600075</xdr:colOff>
      <xdr:row>15</xdr:row>
      <xdr:rowOff>133350</xdr:rowOff>
    </xdr:to>
    <xdr:graphicFrame macro="">
      <xdr:nvGraphicFramePr>
        <xdr:cNvPr id="2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conomi\Downloads\Alimentos%20y%20animales%20viv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esktop\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-%20Base%20de%20datos%20Colombia%20-%20E.E.U.U%20Secci&#243;n%200%20Alimentos%20y%20animales%20vivos%20(%20Sebasti&#225;n%20Rodr&#237;guez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xportaciones USA"/>
      <sheetName val="Exportaciones Colombia"/>
      <sheetName val="Balanza Comercial Colombia"/>
      <sheetName val="Indicadores de Competitividad"/>
      <sheetName val="Hoja1"/>
    </sheetNames>
    <sheetDataSet>
      <sheetData sheetId="0"/>
      <sheetData sheetId="1"/>
      <sheetData sheetId="2"/>
      <sheetData sheetId="3"/>
      <sheetData sheetId="4">
        <row r="68">
          <cell r="D68" t="str">
            <v>Exportaciones 
por habitante</v>
          </cell>
        </row>
        <row r="69">
          <cell r="A69">
            <v>1991</v>
          </cell>
          <cell r="D69">
            <v>18.29142985601441</v>
          </cell>
        </row>
        <row r="70">
          <cell r="A70">
            <v>1992</v>
          </cell>
          <cell r="D70">
            <v>17.484245405667757</v>
          </cell>
        </row>
        <row r="71">
          <cell r="A71">
            <v>1993</v>
          </cell>
          <cell r="D71">
            <v>15.349560644280125</v>
          </cell>
        </row>
        <row r="72">
          <cell r="A72">
            <v>1994</v>
          </cell>
          <cell r="D72">
            <v>20.300706804339999</v>
          </cell>
        </row>
        <row r="73">
          <cell r="A73">
            <v>1995</v>
          </cell>
          <cell r="D73">
            <v>19.455303272422015</v>
          </cell>
        </row>
        <row r="74">
          <cell r="A74">
            <v>1996</v>
          </cell>
          <cell r="D74">
            <v>18.477028584337784</v>
          </cell>
        </row>
        <row r="75">
          <cell r="A75">
            <v>1997</v>
          </cell>
          <cell r="D75">
            <v>26.160803905383752</v>
          </cell>
        </row>
        <row r="76">
          <cell r="A76">
            <v>1998</v>
          </cell>
          <cell r="D76">
            <v>21.593215432160139</v>
          </cell>
        </row>
        <row r="77">
          <cell r="A77">
            <v>1999</v>
          </cell>
          <cell r="D77">
            <v>20.075253056835155</v>
          </cell>
        </row>
        <row r="78">
          <cell r="A78">
            <v>2000</v>
          </cell>
          <cell r="D78">
            <v>16.9327869919574</v>
          </cell>
        </row>
        <row r="79">
          <cell r="A79">
            <v>2001</v>
          </cell>
          <cell r="D79">
            <v>13.622350459618293</v>
          </cell>
        </row>
        <row r="80">
          <cell r="A80">
            <v>2002</v>
          </cell>
          <cell r="D80">
            <v>14.062786736927235</v>
          </cell>
        </row>
        <row r="81">
          <cell r="A81">
            <v>2003</v>
          </cell>
          <cell r="D81">
            <v>14.660067936217962</v>
          </cell>
        </row>
        <row r="82">
          <cell r="A82">
            <v>2004</v>
          </cell>
          <cell r="D82">
            <v>15.626740099227989</v>
          </cell>
        </row>
        <row r="83">
          <cell r="A83">
            <v>2005</v>
          </cell>
          <cell r="D83">
            <v>21.66628606040506</v>
          </cell>
        </row>
        <row r="84">
          <cell r="A84">
            <v>2006</v>
          </cell>
          <cell r="D84">
            <v>21.437052094878407</v>
          </cell>
        </row>
        <row r="85">
          <cell r="A85">
            <v>2007</v>
          </cell>
          <cell r="D85">
            <v>21.19758412886091</v>
          </cell>
        </row>
        <row r="86">
          <cell r="A86">
            <v>2008</v>
          </cell>
          <cell r="D86">
            <v>24.856363593947307</v>
          </cell>
        </row>
        <row r="87">
          <cell r="A87">
            <v>2009</v>
          </cell>
          <cell r="D87">
            <v>26.67248842744516</v>
          </cell>
        </row>
        <row r="88">
          <cell r="A88">
            <v>2010</v>
          </cell>
          <cell r="D88">
            <v>29.297583867169607</v>
          </cell>
        </row>
        <row r="89">
          <cell r="A89">
            <v>2011</v>
          </cell>
          <cell r="D89">
            <v>35.931309601314602</v>
          </cell>
        </row>
        <row r="90">
          <cell r="A90">
            <v>2012</v>
          </cell>
          <cell r="D90">
            <v>30.276009743113747</v>
          </cell>
        </row>
        <row r="91">
          <cell r="A91">
            <v>2013</v>
          </cell>
          <cell r="D91">
            <v>29.112881177258021</v>
          </cell>
        </row>
        <row r="92">
          <cell r="A92">
            <v>2014</v>
          </cell>
          <cell r="D92">
            <v>34.379708318531989</v>
          </cell>
        </row>
        <row r="93">
          <cell r="A93">
            <v>2015</v>
          </cell>
          <cell r="D93">
            <v>33.055299309250039</v>
          </cell>
        </row>
        <row r="98">
          <cell r="D98" t="str">
            <v>Importaciones 
por habitante</v>
          </cell>
        </row>
        <row r="99">
          <cell r="A99">
            <v>1991</v>
          </cell>
          <cell r="D99">
            <v>2.410998154781848</v>
          </cell>
        </row>
        <row r="100">
          <cell r="A100">
            <v>1992</v>
          </cell>
          <cell r="D100">
            <v>4.4336096961397979</v>
          </cell>
        </row>
        <row r="101">
          <cell r="A101">
            <v>1993</v>
          </cell>
          <cell r="D101">
            <v>4.7278787358548486</v>
          </cell>
        </row>
        <row r="102">
          <cell r="A102">
            <v>1994</v>
          </cell>
          <cell r="D102">
            <v>6.5694999756470853</v>
          </cell>
        </row>
        <row r="103">
          <cell r="A103">
            <v>1995</v>
          </cell>
          <cell r="D103">
            <v>10.549915745503386</v>
          </cell>
        </row>
        <row r="104">
          <cell r="A104">
            <v>1996</v>
          </cell>
          <cell r="D104">
            <v>14.740827544358064</v>
          </cell>
        </row>
        <row r="105">
          <cell r="A105">
            <v>1997</v>
          </cell>
          <cell r="D105">
            <v>12.093085225264897</v>
          </cell>
        </row>
        <row r="106">
          <cell r="A106">
            <v>1998</v>
          </cell>
          <cell r="D106">
            <v>12.828262308911473</v>
          </cell>
        </row>
        <row r="107">
          <cell r="A107">
            <v>1999</v>
          </cell>
          <cell r="D107">
            <v>9.9576144430826687</v>
          </cell>
        </row>
        <row r="108">
          <cell r="A108">
            <v>2000</v>
          </cell>
          <cell r="D108">
            <v>9.6702136411395951</v>
          </cell>
        </row>
        <row r="109">
          <cell r="A109">
            <v>2001</v>
          </cell>
          <cell r="D109">
            <v>9.4103828922856749</v>
          </cell>
        </row>
        <row r="110">
          <cell r="A110">
            <v>2002</v>
          </cell>
          <cell r="D110">
            <v>10.578330077816876</v>
          </cell>
        </row>
        <row r="111">
          <cell r="A111">
            <v>2003</v>
          </cell>
          <cell r="D111">
            <v>10.149723939369673</v>
          </cell>
        </row>
        <row r="112">
          <cell r="A112">
            <v>2004</v>
          </cell>
          <cell r="D112">
            <v>13.104572999995352</v>
          </cell>
        </row>
        <row r="113">
          <cell r="A113">
            <v>2005</v>
          </cell>
          <cell r="D113">
            <v>14.148720153834846</v>
          </cell>
        </row>
        <row r="114">
          <cell r="A114">
            <v>2006</v>
          </cell>
          <cell r="D114">
            <v>17.150641492609907</v>
          </cell>
        </row>
        <row r="115">
          <cell r="A115">
            <v>2007</v>
          </cell>
          <cell r="D115">
            <v>26.390281574202469</v>
          </cell>
        </row>
        <row r="116">
          <cell r="A116">
            <v>2008</v>
          </cell>
          <cell r="D116">
            <v>34.952916490546357</v>
          </cell>
        </row>
        <row r="117">
          <cell r="A117">
            <v>2009</v>
          </cell>
          <cell r="D117">
            <v>15.779709797711067</v>
          </cell>
        </row>
        <row r="118">
          <cell r="A118">
            <v>2010</v>
          </cell>
          <cell r="D118">
            <v>12.785249981630244</v>
          </cell>
        </row>
        <row r="119">
          <cell r="A119">
            <v>2011</v>
          </cell>
          <cell r="D119">
            <v>17.725482429525233</v>
          </cell>
        </row>
        <row r="120">
          <cell r="A120">
            <v>2012</v>
          </cell>
          <cell r="D120">
            <v>17.977845757560843</v>
          </cell>
        </row>
        <row r="121">
          <cell r="A121">
            <v>2013</v>
          </cell>
          <cell r="D121">
            <v>27.065267379537854</v>
          </cell>
        </row>
        <row r="122">
          <cell r="A122">
            <v>2014</v>
          </cell>
          <cell r="D122">
            <v>45.732710777294194</v>
          </cell>
        </row>
        <row r="123">
          <cell r="A123">
            <v>2015</v>
          </cell>
          <cell r="D123">
            <v>47.272710485908625</v>
          </cell>
        </row>
        <row r="128">
          <cell r="D128" t="str">
            <v>Exportaciones 
por habitante</v>
          </cell>
        </row>
        <row r="129">
          <cell r="A129">
            <v>1991</v>
          </cell>
          <cell r="D129">
            <v>0.33111126882737951</v>
          </cell>
        </row>
        <row r="130">
          <cell r="A130">
            <v>1992</v>
          </cell>
          <cell r="D130">
            <v>0.61394214785822332</v>
          </cell>
        </row>
        <row r="131">
          <cell r="A131">
            <v>1993</v>
          </cell>
          <cell r="D131">
            <v>0.66060338593221191</v>
          </cell>
        </row>
        <row r="132">
          <cell r="A132">
            <v>1994</v>
          </cell>
          <cell r="D132">
            <v>0.91687802439587818</v>
          </cell>
        </row>
        <row r="133">
          <cell r="A133">
            <v>1995</v>
          </cell>
          <cell r="D133">
            <v>1.4839765463704684</v>
          </cell>
        </row>
        <row r="134">
          <cell r="A134">
            <v>1996</v>
          </cell>
          <cell r="D134">
            <v>2.0866194176923361</v>
          </cell>
        </row>
        <row r="135">
          <cell r="A135">
            <v>1997</v>
          </cell>
          <cell r="D135">
            <v>1.7216178519973322</v>
          </cell>
        </row>
        <row r="136">
          <cell r="A136">
            <v>1998</v>
          </cell>
          <cell r="D136">
            <v>1.850876634853305</v>
          </cell>
        </row>
        <row r="137">
          <cell r="A137">
            <v>1999</v>
          </cell>
          <cell r="D137">
            <v>1.4437566344553763</v>
          </cell>
        </row>
        <row r="138">
          <cell r="A138">
            <v>2000</v>
          </cell>
          <cell r="D138">
            <v>1.3674005401746305</v>
          </cell>
        </row>
        <row r="139">
          <cell r="A139">
            <v>2001</v>
          </cell>
          <cell r="D139">
            <v>1.3353178280179372</v>
          </cell>
        </row>
        <row r="140">
          <cell r="A140">
            <v>2002</v>
          </cell>
          <cell r="D140">
            <v>1.5069906482012678</v>
          </cell>
        </row>
        <row r="141">
          <cell r="A141">
            <v>2003</v>
          </cell>
          <cell r="D141">
            <v>1.450641036556654</v>
          </cell>
        </row>
        <row r="142">
          <cell r="A142">
            <v>2004</v>
          </cell>
          <cell r="D142">
            <v>1.8788147903664796</v>
          </cell>
        </row>
        <row r="143">
          <cell r="A143">
            <v>2005</v>
          </cell>
          <cell r="D143">
            <v>2.0337115924881699</v>
          </cell>
        </row>
        <row r="144">
          <cell r="A144">
            <v>2006</v>
          </cell>
          <cell r="D144">
            <v>2.4713242609023571</v>
          </cell>
        </row>
        <row r="145">
          <cell r="A145">
            <v>2007</v>
          </cell>
          <cell r="D145">
            <v>3.8121243911824281</v>
          </cell>
        </row>
        <row r="146">
          <cell r="A146">
            <v>2008</v>
          </cell>
          <cell r="D146">
            <v>5.0646721814917841</v>
          </cell>
        </row>
        <row r="147">
          <cell r="A147">
            <v>2009</v>
          </cell>
          <cell r="D147">
            <v>2.2988280918897037</v>
          </cell>
        </row>
        <row r="148">
          <cell r="A148">
            <v>2010</v>
          </cell>
          <cell r="D148">
            <v>1.880901708400607</v>
          </cell>
        </row>
        <row r="149">
          <cell r="A149">
            <v>2011</v>
          </cell>
          <cell r="D149">
            <v>2.6182423104983616</v>
          </cell>
        </row>
        <row r="150">
          <cell r="A150">
            <v>2012</v>
          </cell>
          <cell r="D150">
            <v>2.6660573968760284</v>
          </cell>
        </row>
        <row r="151">
          <cell r="A151">
            <v>2013</v>
          </cell>
          <cell r="D151">
            <v>4.0295570994517487</v>
          </cell>
        </row>
        <row r="152">
          <cell r="A152">
            <v>2014</v>
          </cell>
          <cell r="D152">
            <v>6.8359870951075967</v>
          </cell>
        </row>
        <row r="153">
          <cell r="A153">
            <v>2015</v>
          </cell>
          <cell r="D153">
            <v>7.0895214194364851</v>
          </cell>
        </row>
        <row r="158">
          <cell r="D158" t="str">
            <v>lmportaciones 
por habitante</v>
          </cell>
        </row>
        <row r="159">
          <cell r="A159">
            <v>1991</v>
          </cell>
          <cell r="D159">
            <v>2.5120295244854502</v>
          </cell>
        </row>
        <row r="160">
          <cell r="A160">
            <v>1992</v>
          </cell>
          <cell r="D160">
            <v>2.4211231736032062</v>
          </cell>
        </row>
        <row r="161">
          <cell r="A161">
            <v>1993</v>
          </cell>
          <cell r="D161">
            <v>2.1447190803107308</v>
          </cell>
        </row>
        <row r="162">
          <cell r="A162">
            <v>1994</v>
          </cell>
          <cell r="D162">
            <v>2.8332859452929435</v>
          </cell>
        </row>
        <row r="163">
          <cell r="A163">
            <v>1995</v>
          </cell>
          <cell r="D163">
            <v>2.7366297945179769</v>
          </cell>
        </row>
        <row r="164">
          <cell r="A164">
            <v>1996</v>
          </cell>
          <cell r="D164">
            <v>2.6154926858290262</v>
          </cell>
        </row>
        <row r="165">
          <cell r="A165">
            <v>1997</v>
          </cell>
          <cell r="D165">
            <v>3.7243520728701078</v>
          </cell>
        </row>
        <row r="166">
          <cell r="A166">
            <v>1998</v>
          </cell>
          <cell r="D166">
            <v>3.1154942853776362</v>
          </cell>
        </row>
        <row r="167">
          <cell r="A167">
            <v>1999</v>
          </cell>
          <cell r="D167">
            <v>2.9107152074270863</v>
          </cell>
        </row>
        <row r="168">
          <cell r="A168">
            <v>2000</v>
          </cell>
          <cell r="D168">
            <v>2.3943526936118356</v>
          </cell>
        </row>
        <row r="169">
          <cell r="A169">
            <v>2001</v>
          </cell>
          <cell r="D169">
            <v>1.9329890862515648</v>
          </cell>
        </row>
        <row r="170">
          <cell r="A170">
            <v>2002</v>
          </cell>
          <cell r="D170">
            <v>2.0033869187575788</v>
          </cell>
        </row>
        <row r="171">
          <cell r="A171">
            <v>2003</v>
          </cell>
          <cell r="D171">
            <v>2.0952782828403604</v>
          </cell>
        </row>
        <row r="172">
          <cell r="A172">
            <v>2004</v>
          </cell>
          <cell r="D172">
            <v>2.2404202276299205</v>
          </cell>
        </row>
        <row r="173">
          <cell r="A173">
            <v>2005</v>
          </cell>
          <cell r="D173">
            <v>3.1142729977077011</v>
          </cell>
        </row>
        <row r="174">
          <cell r="A174">
            <v>2006</v>
          </cell>
          <cell r="D174">
            <v>3.0889752402047774</v>
          </cell>
        </row>
        <row r="175">
          <cell r="A175">
            <v>2007</v>
          </cell>
          <cell r="D175">
            <v>3.0620297576045949</v>
          </cell>
        </row>
        <row r="176">
          <cell r="A176">
            <v>2008</v>
          </cell>
          <cell r="D176">
            <v>3.6016832318229901</v>
          </cell>
        </row>
        <row r="177">
          <cell r="A177">
            <v>2009</v>
          </cell>
          <cell r="D177">
            <v>3.8857156730796221</v>
          </cell>
        </row>
        <row r="178">
          <cell r="A178">
            <v>2010</v>
          </cell>
          <cell r="D178">
            <v>4.3101132654383072</v>
          </cell>
        </row>
        <row r="179">
          <cell r="A179">
            <v>2011</v>
          </cell>
          <cell r="D179">
            <v>5.3074366491190448</v>
          </cell>
        </row>
        <row r="180">
          <cell r="A180">
            <v>2012</v>
          </cell>
          <cell r="D180">
            <v>4.4898360355312414</v>
          </cell>
        </row>
        <row r="181">
          <cell r="A181">
            <v>2013</v>
          </cell>
          <cell r="D181">
            <v>4.33441190098889</v>
          </cell>
        </row>
        <row r="182">
          <cell r="A182">
            <v>2014</v>
          </cell>
          <cell r="D182">
            <v>5.1389746727135304</v>
          </cell>
        </row>
        <row r="183">
          <cell r="A183">
            <v>2015</v>
          </cell>
          <cell r="D183">
            <v>4.9573263320424115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02"/>
      <sheetName val="Import 02"/>
      <sheetName val="Balanza c 02"/>
      <sheetName val="Apertura 02"/>
      <sheetName val=" Per Cápita 02"/>
      <sheetName val="Participación Mundial 02"/>
      <sheetName val="Dinamismo Comercial 02"/>
    </sheetNames>
    <sheetDataSet>
      <sheetData sheetId="0">
        <row r="1">
          <cell r="B1" t="str">
            <v>Exportaciones  de Colombia a USA (US$ miles)</v>
          </cell>
        </row>
        <row r="2">
          <cell r="B2">
            <v>193.2</v>
          </cell>
        </row>
        <row r="3">
          <cell r="B3">
            <v>98.457999999999998</v>
          </cell>
        </row>
        <row r="4">
          <cell r="B4">
            <v>189.28800000000001</v>
          </cell>
        </row>
        <row r="5">
          <cell r="B5">
            <v>181.245</v>
          </cell>
        </row>
        <row r="6">
          <cell r="B6">
            <v>318.63600000000002</v>
          </cell>
        </row>
        <row r="7">
          <cell r="B7">
            <v>186.023</v>
          </cell>
        </row>
        <row r="8">
          <cell r="B8">
            <v>299.63900000000001</v>
          </cell>
        </row>
        <row r="9">
          <cell r="B9">
            <v>229.15799999999999</v>
          </cell>
        </row>
        <row r="10">
          <cell r="B10">
            <v>48.418999999999997</v>
          </cell>
        </row>
        <row r="11">
          <cell r="B11">
            <v>130.333</v>
          </cell>
        </row>
        <row r="12">
          <cell r="B12">
            <v>44.466000000000001</v>
          </cell>
        </row>
        <row r="13">
          <cell r="B13">
            <v>1143.337</v>
          </cell>
        </row>
        <row r="14">
          <cell r="B14">
            <v>1736.789</v>
          </cell>
        </row>
        <row r="15">
          <cell r="B15">
            <v>3722.8020000000001</v>
          </cell>
        </row>
        <row r="16">
          <cell r="B16">
            <v>2617.0740000000001</v>
          </cell>
        </row>
        <row r="17">
          <cell r="B17">
            <v>2260.576</v>
          </cell>
        </row>
        <row r="18">
          <cell r="B18">
            <v>1929.002</v>
          </cell>
        </row>
        <row r="19">
          <cell r="B19">
            <v>2543.1509999999998</v>
          </cell>
        </row>
        <row r="20">
          <cell r="B20">
            <v>1629.9090000000001</v>
          </cell>
        </row>
        <row r="21">
          <cell r="B21">
            <v>1239.7750000000001</v>
          </cell>
        </row>
        <row r="22">
          <cell r="B22">
            <v>1556.4110000000001</v>
          </cell>
        </row>
        <row r="23">
          <cell r="B23">
            <v>1228.972</v>
          </cell>
        </row>
        <row r="24">
          <cell r="B24">
            <v>1314.857</v>
          </cell>
        </row>
        <row r="25">
          <cell r="B25">
            <v>2674.6019999999999</v>
          </cell>
        </row>
        <row r="26">
          <cell r="B26">
            <v>3160.4050000000002</v>
          </cell>
        </row>
      </sheetData>
      <sheetData sheetId="1">
        <row r="2">
          <cell r="A2">
            <v>1991</v>
          </cell>
          <cell r="B2">
            <v>1.488518</v>
          </cell>
        </row>
        <row r="3">
          <cell r="B3">
            <v>6.3081459999999998</v>
          </cell>
        </row>
        <row r="4">
          <cell r="B4">
            <v>9.1881140000000006</v>
          </cell>
        </row>
        <row r="5">
          <cell r="B5">
            <v>5.7732659999999996</v>
          </cell>
        </row>
        <row r="6">
          <cell r="B6">
            <v>14.381983999999999</v>
          </cell>
        </row>
        <row r="7">
          <cell r="B7">
            <v>9.2738960000000006</v>
          </cell>
        </row>
        <row r="8">
          <cell r="B8">
            <v>13.991676999999999</v>
          </cell>
        </row>
        <row r="9">
          <cell r="B9">
            <v>8.2078140000000008</v>
          </cell>
        </row>
        <row r="10">
          <cell r="B10">
            <v>3.582703</v>
          </cell>
        </row>
        <row r="11">
          <cell r="B11">
            <v>4.2160919999999997</v>
          </cell>
        </row>
        <row r="12">
          <cell r="B12">
            <v>3.6428370000000001</v>
          </cell>
        </row>
        <row r="13">
          <cell r="B13">
            <v>0.99275800000000003</v>
          </cell>
        </row>
        <row r="14">
          <cell r="B14">
            <v>1.186763</v>
          </cell>
        </row>
        <row r="15">
          <cell r="B15">
            <v>2.2491099999999999</v>
          </cell>
        </row>
        <row r="16">
          <cell r="B16">
            <v>3.9962680000000002</v>
          </cell>
        </row>
        <row r="17">
          <cell r="B17">
            <v>3.2213280000000002</v>
          </cell>
        </row>
        <row r="18">
          <cell r="B18">
            <v>4.4266769999999998</v>
          </cell>
        </row>
        <row r="19">
          <cell r="B19">
            <v>8.3235340000000004</v>
          </cell>
        </row>
        <row r="20">
          <cell r="B20">
            <v>3.0615399999999999</v>
          </cell>
        </row>
        <row r="21">
          <cell r="B21">
            <v>2.009004</v>
          </cell>
        </row>
        <row r="22">
          <cell r="B22">
            <v>3.4654319999999998</v>
          </cell>
        </row>
        <row r="23">
          <cell r="B23">
            <v>17.508887999999999</v>
          </cell>
        </row>
        <row r="24">
          <cell r="B24">
            <v>30.783857000000001</v>
          </cell>
        </row>
        <row r="25">
          <cell r="B25">
            <v>51.005201999999997</v>
          </cell>
        </row>
        <row r="26">
          <cell r="B26">
            <v>45.102443999999998</v>
          </cell>
        </row>
      </sheetData>
      <sheetData sheetId="2">
        <row r="2">
          <cell r="A2">
            <v>1991</v>
          </cell>
          <cell r="B2">
            <v>-1.295318</v>
          </cell>
        </row>
        <row r="3">
          <cell r="B3">
            <v>-6.2096879999999999</v>
          </cell>
        </row>
        <row r="4">
          <cell r="B4">
            <v>-8.9988260000000011</v>
          </cell>
        </row>
        <row r="5">
          <cell r="B5">
            <v>-5.5920209999999999</v>
          </cell>
        </row>
        <row r="6">
          <cell r="B6">
            <v>-14.063348</v>
          </cell>
        </row>
        <row r="7">
          <cell r="B7">
            <v>-9.0878730000000001</v>
          </cell>
        </row>
        <row r="8">
          <cell r="B8">
            <v>-13.692038</v>
          </cell>
        </row>
        <row r="9">
          <cell r="B9">
            <v>-7.9786560000000009</v>
          </cell>
        </row>
        <row r="10">
          <cell r="B10">
            <v>-3.534284</v>
          </cell>
        </row>
        <row r="11">
          <cell r="B11">
            <v>-4.0857589999999995</v>
          </cell>
        </row>
        <row r="12">
          <cell r="B12">
            <v>-3.5983710000000002</v>
          </cell>
        </row>
        <row r="13">
          <cell r="B13">
            <v>0.15057900000000002</v>
          </cell>
        </row>
        <row r="14">
          <cell r="B14">
            <v>0.5500259999999999</v>
          </cell>
        </row>
        <row r="15">
          <cell r="B15">
            <v>1.4736920000000002</v>
          </cell>
        </row>
        <row r="16">
          <cell r="B16">
            <v>-1.379194</v>
          </cell>
        </row>
        <row r="17">
          <cell r="B17">
            <v>-0.96075200000000027</v>
          </cell>
        </row>
        <row r="18">
          <cell r="B18">
            <v>-2.4976750000000001</v>
          </cell>
        </row>
        <row r="19">
          <cell r="B19">
            <v>-5.7803830000000005</v>
          </cell>
        </row>
        <row r="20">
          <cell r="B20">
            <v>-1.4316309999999999</v>
          </cell>
        </row>
        <row r="21">
          <cell r="B21">
            <v>-0.76922899999999994</v>
          </cell>
        </row>
        <row r="22">
          <cell r="B22">
            <v>-1.9090209999999999</v>
          </cell>
        </row>
        <row r="23">
          <cell r="B23">
            <v>-16.279916</v>
          </cell>
        </row>
        <row r="24">
          <cell r="B24">
            <v>-29.469000000000001</v>
          </cell>
        </row>
        <row r="25">
          <cell r="B25">
            <v>-48.330599999999997</v>
          </cell>
        </row>
        <row r="26">
          <cell r="B26">
            <v>-41.942039000000001</v>
          </cell>
        </row>
      </sheetData>
      <sheetData sheetId="3">
        <row r="6">
          <cell r="B6" t="str">
            <v>Total exportaciones
 a USA (US$ miles)</v>
          </cell>
        </row>
        <row r="213">
          <cell r="B213">
            <v>1.681718</v>
          </cell>
        </row>
        <row r="214">
          <cell r="B214">
            <v>6.4066039999999997</v>
          </cell>
        </row>
        <row r="215">
          <cell r="B215">
            <v>9.377402</v>
          </cell>
        </row>
        <row r="216">
          <cell r="B216">
            <v>5.9545109999999992</v>
          </cell>
        </row>
        <row r="217">
          <cell r="B217">
            <v>14.700619999999999</v>
          </cell>
        </row>
        <row r="218">
          <cell r="B218">
            <v>9.4599190000000011</v>
          </cell>
        </row>
        <row r="219">
          <cell r="B219">
            <v>14.291315999999998</v>
          </cell>
        </row>
        <row r="220">
          <cell r="B220">
            <v>8.4369720000000008</v>
          </cell>
        </row>
        <row r="221">
          <cell r="B221">
            <v>3.631122</v>
          </cell>
        </row>
        <row r="222">
          <cell r="B222">
            <v>4.346425</v>
          </cell>
        </row>
        <row r="223">
          <cell r="B223">
            <v>3.687303</v>
          </cell>
        </row>
        <row r="224">
          <cell r="B224">
            <v>2.1360950000000001</v>
          </cell>
        </row>
        <row r="225">
          <cell r="B225">
            <v>2.9235519999999999</v>
          </cell>
        </row>
        <row r="226">
          <cell r="B226">
            <v>5.9719119999999997</v>
          </cell>
        </row>
        <row r="227">
          <cell r="B227">
            <v>6.6133420000000003</v>
          </cell>
        </row>
        <row r="228">
          <cell r="B228">
            <v>5.4819040000000001</v>
          </cell>
        </row>
        <row r="229">
          <cell r="B229">
            <v>6.3556789999999994</v>
          </cell>
        </row>
        <row r="230">
          <cell r="B230">
            <v>10.866685</v>
          </cell>
        </row>
        <row r="231">
          <cell r="B231">
            <v>4.6914490000000004</v>
          </cell>
        </row>
        <row r="232">
          <cell r="B232">
            <v>3.2487789999999999</v>
          </cell>
        </row>
        <row r="233">
          <cell r="B233">
            <v>5.0218429999999996</v>
          </cell>
        </row>
        <row r="234">
          <cell r="B234">
            <v>18.737859999999998</v>
          </cell>
        </row>
        <row r="235">
          <cell r="B235">
            <v>32.098714000000001</v>
          </cell>
        </row>
        <row r="236">
          <cell r="B236">
            <v>53.679803999999997</v>
          </cell>
        </row>
        <row r="237">
          <cell r="B237">
            <v>48.262848999999996</v>
          </cell>
        </row>
      </sheetData>
      <sheetData sheetId="4">
        <row r="5">
          <cell r="D5" t="str">
            <v>Exportaciones 
por habitante (US$ dólares)</v>
          </cell>
        </row>
        <row r="36">
          <cell r="B36">
            <v>1.488518</v>
          </cell>
        </row>
        <row r="37">
          <cell r="B37">
            <v>6.3081459999999998</v>
          </cell>
        </row>
        <row r="38">
          <cell r="B38">
            <v>9.1881140000000006</v>
          </cell>
        </row>
        <row r="39">
          <cell r="B39">
            <v>5.7732659999999996</v>
          </cell>
        </row>
        <row r="40">
          <cell r="B40">
            <v>14.381983999999999</v>
          </cell>
        </row>
        <row r="41">
          <cell r="B41">
            <v>9.2738960000000006</v>
          </cell>
        </row>
        <row r="42">
          <cell r="B42">
            <v>13.991676999999999</v>
          </cell>
        </row>
        <row r="43">
          <cell r="B43">
            <v>8.2078140000000008</v>
          </cell>
        </row>
        <row r="44">
          <cell r="B44">
            <v>3.582703</v>
          </cell>
        </row>
        <row r="45">
          <cell r="B45">
            <v>4.2160919999999997</v>
          </cell>
        </row>
        <row r="46">
          <cell r="B46">
            <v>3.6428370000000001</v>
          </cell>
        </row>
        <row r="47">
          <cell r="B47">
            <v>0.99275800000000003</v>
          </cell>
        </row>
        <row r="48">
          <cell r="B48">
            <v>1.186763</v>
          </cell>
        </row>
        <row r="49">
          <cell r="B49">
            <v>2.2491099999999999</v>
          </cell>
        </row>
        <row r="50">
          <cell r="B50">
            <v>3.9962680000000002</v>
          </cell>
        </row>
        <row r="51">
          <cell r="B51">
            <v>3.2213280000000002</v>
          </cell>
        </row>
        <row r="52">
          <cell r="B52">
            <v>4.4266769999999998</v>
          </cell>
        </row>
        <row r="53">
          <cell r="B53">
            <v>8.3235340000000004</v>
          </cell>
        </row>
        <row r="54">
          <cell r="B54">
            <v>3.0615399999999999</v>
          </cell>
        </row>
        <row r="55">
          <cell r="B55">
            <v>2.009004</v>
          </cell>
        </row>
        <row r="56">
          <cell r="B56">
            <v>3.4654319999999998</v>
          </cell>
        </row>
        <row r="57">
          <cell r="B57">
            <v>17.508887999999999</v>
          </cell>
        </row>
        <row r="58">
          <cell r="B58">
            <v>30.783857000000001</v>
          </cell>
        </row>
        <row r="59">
          <cell r="B59">
            <v>51.005201999999997</v>
          </cell>
        </row>
        <row r="60">
          <cell r="B60">
            <v>45.102443999999998</v>
          </cell>
        </row>
        <row r="65">
          <cell r="B65">
            <v>1.681718</v>
          </cell>
        </row>
        <row r="66">
          <cell r="B66">
            <v>6.4066039999999997</v>
          </cell>
        </row>
        <row r="67">
          <cell r="B67">
            <v>9.377402</v>
          </cell>
        </row>
        <row r="68">
          <cell r="B68">
            <v>5.9545109999999992</v>
          </cell>
        </row>
        <row r="69">
          <cell r="B69">
            <v>14.700619999999999</v>
          </cell>
        </row>
        <row r="70">
          <cell r="B70">
            <v>9.4599190000000011</v>
          </cell>
        </row>
        <row r="71">
          <cell r="B71">
            <v>14.291315999999998</v>
          </cell>
        </row>
        <row r="72">
          <cell r="B72">
            <v>8.4369720000000008</v>
          </cell>
        </row>
        <row r="73">
          <cell r="B73">
            <v>3.631122</v>
          </cell>
        </row>
        <row r="74">
          <cell r="B74">
            <v>4.346425</v>
          </cell>
        </row>
        <row r="75">
          <cell r="B75">
            <v>3.687303</v>
          </cell>
        </row>
        <row r="76">
          <cell r="B76">
            <v>2.1360950000000001</v>
          </cell>
        </row>
        <row r="77">
          <cell r="B77">
            <v>2.9235519999999999</v>
          </cell>
        </row>
        <row r="78">
          <cell r="B78">
            <v>5.9719119999999997</v>
          </cell>
        </row>
        <row r="79">
          <cell r="B79">
            <v>6.6133420000000003</v>
          </cell>
        </row>
        <row r="80">
          <cell r="B80">
            <v>5.4819040000000001</v>
          </cell>
        </row>
        <row r="81">
          <cell r="B81">
            <v>6.3556789999999994</v>
          </cell>
        </row>
        <row r="82">
          <cell r="B82">
            <v>10.866685</v>
          </cell>
        </row>
        <row r="83">
          <cell r="B83">
            <v>4.6914490000000004</v>
          </cell>
        </row>
        <row r="84">
          <cell r="B84">
            <v>3.2487789999999999</v>
          </cell>
        </row>
        <row r="85">
          <cell r="B85">
            <v>5.0218429999999996</v>
          </cell>
        </row>
        <row r="86">
          <cell r="B86">
            <v>18.737859999999998</v>
          </cell>
        </row>
        <row r="87">
          <cell r="B87">
            <v>32.098714000000001</v>
          </cell>
        </row>
        <row r="88">
          <cell r="B88">
            <v>53.679803999999997</v>
          </cell>
        </row>
        <row r="89">
          <cell r="B89">
            <v>48.262848999999996</v>
          </cell>
        </row>
      </sheetData>
      <sheetData sheetId="5">
        <row r="5">
          <cell r="C5" t="str">
            <v>Total exportaciones
 a USA (US$ miles)</v>
          </cell>
        </row>
        <row r="6">
          <cell r="C6">
            <v>193.2</v>
          </cell>
        </row>
        <row r="7">
          <cell r="C7">
            <v>98.457999999999998</v>
          </cell>
        </row>
        <row r="8">
          <cell r="C8">
            <v>189.28800000000001</v>
          </cell>
        </row>
        <row r="9">
          <cell r="C9">
            <v>181.245</v>
          </cell>
        </row>
        <row r="10">
          <cell r="C10">
            <v>318.63600000000002</v>
          </cell>
        </row>
        <row r="11">
          <cell r="C11">
            <v>186.023</v>
          </cell>
        </row>
        <row r="12">
          <cell r="C12">
            <v>299.63900000000001</v>
          </cell>
        </row>
        <row r="13">
          <cell r="C13">
            <v>229.15799999999999</v>
          </cell>
        </row>
        <row r="14">
          <cell r="C14">
            <v>48.418999999999997</v>
          </cell>
        </row>
        <row r="15">
          <cell r="C15">
            <v>130.333</v>
          </cell>
        </row>
        <row r="16">
          <cell r="C16">
            <v>44.466000000000001</v>
          </cell>
        </row>
        <row r="17">
          <cell r="C17">
            <v>1143.337</v>
          </cell>
        </row>
        <row r="18">
          <cell r="C18">
            <v>1736.789</v>
          </cell>
        </row>
        <row r="19">
          <cell r="C19">
            <v>3722.8020000000001</v>
          </cell>
        </row>
        <row r="20">
          <cell r="C20">
            <v>2617.0740000000001</v>
          </cell>
        </row>
        <row r="21">
          <cell r="C21">
            <v>2260.576</v>
          </cell>
        </row>
        <row r="22">
          <cell r="C22">
            <v>1929.002</v>
          </cell>
        </row>
        <row r="23">
          <cell r="C23">
            <v>2543.1509999999998</v>
          </cell>
        </row>
        <row r="24">
          <cell r="C24">
            <v>1629.9090000000001</v>
          </cell>
        </row>
        <row r="25">
          <cell r="C25">
            <v>1239.7750000000001</v>
          </cell>
        </row>
        <row r="26">
          <cell r="C26">
            <v>1556.4110000000001</v>
          </cell>
        </row>
        <row r="27">
          <cell r="C27">
            <v>1228.972</v>
          </cell>
        </row>
        <row r="28">
          <cell r="C28">
            <v>1314.857</v>
          </cell>
        </row>
        <row r="29">
          <cell r="C29">
            <v>2674.6019999999999</v>
          </cell>
        </row>
        <row r="30">
          <cell r="C30">
            <v>3160.4050000000002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xportaciones Colombia"/>
      <sheetName val="Exportaciones USA"/>
      <sheetName val="Balanza Comercial Colombia"/>
      <sheetName val="Indicadores de Apertura"/>
      <sheetName val="Indicadores Per Cápita"/>
      <sheetName val="Participación Mundial"/>
      <sheetName val="Dinamismo Comercial"/>
    </sheetNames>
    <sheetDataSet>
      <sheetData sheetId="0" refreshError="1"/>
      <sheetData sheetId="1">
        <row r="2">
          <cell r="C2" t="str">
            <v>Precio CIF(US$ millones)</v>
          </cell>
        </row>
        <row r="3">
          <cell r="B3">
            <v>1991</v>
          </cell>
          <cell r="C3">
            <v>637.10092799999995</v>
          </cell>
        </row>
        <row r="4">
          <cell r="B4">
            <v>1992</v>
          </cell>
          <cell r="C4">
            <v>621.05683199999999</v>
          </cell>
        </row>
        <row r="5">
          <cell r="B5">
            <v>1993</v>
          </cell>
          <cell r="C5">
            <v>555.76319999999998</v>
          </cell>
        </row>
        <row r="6">
          <cell r="B6">
            <v>1994</v>
          </cell>
          <cell r="C6">
            <v>748.16031999999996</v>
          </cell>
        </row>
        <row r="7">
          <cell r="B7">
            <v>1995</v>
          </cell>
          <cell r="C7">
            <v>729.03270399999997</v>
          </cell>
        </row>
        <row r="8">
          <cell r="B8">
            <v>1996</v>
          </cell>
          <cell r="C8">
            <v>703.38444800000002</v>
          </cell>
        </row>
        <row r="9">
          <cell r="B9">
            <v>1997</v>
          </cell>
          <cell r="C9">
            <v>1010.740736</v>
          </cell>
        </row>
        <row r="10">
          <cell r="B10">
            <v>1998</v>
          </cell>
          <cell r="C10">
            <v>846.11839999999995</v>
          </cell>
        </row>
        <row r="11">
          <cell r="B11">
            <v>1999</v>
          </cell>
          <cell r="C11">
            <v>797.60582399999998</v>
          </cell>
        </row>
        <row r="12">
          <cell r="B12">
            <v>2000</v>
          </cell>
          <cell r="C12">
            <v>682.31618500000002</v>
          </cell>
        </row>
        <row r="13">
          <cell r="B13">
            <v>2001</v>
          </cell>
          <cell r="C13">
            <v>555.976359</v>
          </cell>
        </row>
        <row r="14">
          <cell r="B14">
            <v>2002</v>
          </cell>
          <cell r="C14">
            <v>581.19843800000001</v>
          </cell>
        </row>
        <row r="15">
          <cell r="B15">
            <v>2003</v>
          </cell>
          <cell r="C15">
            <v>613.50858200000005</v>
          </cell>
        </row>
        <row r="16">
          <cell r="B16">
            <v>2004</v>
          </cell>
          <cell r="C16">
            <v>662.081366</v>
          </cell>
        </row>
        <row r="17">
          <cell r="B17">
            <v>2005</v>
          </cell>
          <cell r="C17">
            <v>929.23650299999997</v>
          </cell>
        </row>
        <row r="18">
          <cell r="B18">
            <v>2006</v>
          </cell>
          <cell r="C18">
            <v>930.49573999999996</v>
          </cell>
        </row>
        <row r="19">
          <cell r="B19">
            <v>2007</v>
          </cell>
          <cell r="C19">
            <v>931.14477299999999</v>
          </cell>
        </row>
        <row r="20">
          <cell r="B20">
            <v>2008</v>
          </cell>
          <cell r="C20">
            <v>1104.8938720000001</v>
          </cell>
        </row>
        <row r="21">
          <cell r="B21">
            <v>2009</v>
          </cell>
          <cell r="C21">
            <v>1199.6973760000001</v>
          </cell>
        </row>
        <row r="22">
          <cell r="B22">
            <v>2010</v>
          </cell>
          <cell r="C22">
            <v>1333.3208540000001</v>
          </cell>
        </row>
        <row r="23">
          <cell r="B23">
            <v>2011</v>
          </cell>
          <cell r="C23">
            <v>1654.442814</v>
          </cell>
        </row>
        <row r="24">
          <cell r="B24">
            <v>2012</v>
          </cell>
          <cell r="C24">
            <v>1410.311727</v>
          </cell>
        </row>
        <row r="25">
          <cell r="B25">
            <v>2013</v>
          </cell>
          <cell r="C25">
            <v>1371.830665</v>
          </cell>
        </row>
        <row r="26">
          <cell r="B26">
            <v>2014</v>
          </cell>
          <cell r="C26">
            <v>1638.5983349999999</v>
          </cell>
        </row>
        <row r="27">
          <cell r="B27">
            <v>2015</v>
          </cell>
          <cell r="C27">
            <v>1593.37798</v>
          </cell>
        </row>
      </sheetData>
      <sheetData sheetId="2">
        <row r="2">
          <cell r="C2" t="str">
            <v>Precio CIF(US$ millones)</v>
          </cell>
        </row>
        <row r="3">
          <cell r="B3">
            <v>1991</v>
          </cell>
          <cell r="C3">
            <v>83.976439999999997</v>
          </cell>
        </row>
        <row r="4">
          <cell r="B4">
            <v>1992</v>
          </cell>
          <cell r="C4">
            <v>157.485984</v>
          </cell>
        </row>
        <row r="5">
          <cell r="B5">
            <v>1993</v>
          </cell>
          <cell r="C5">
            <v>171.182816</v>
          </cell>
        </row>
        <row r="6">
          <cell r="B6">
            <v>1994</v>
          </cell>
          <cell r="C6">
            <v>242.111728</v>
          </cell>
        </row>
        <row r="7">
          <cell r="B7">
            <v>1995</v>
          </cell>
          <cell r="C7">
            <v>395.32838400000003</v>
          </cell>
        </row>
        <row r="8">
          <cell r="B8">
            <v>1996</v>
          </cell>
          <cell r="C8">
            <v>561.15455999999995</v>
          </cell>
        </row>
        <row r="9">
          <cell r="B9">
            <v>1997</v>
          </cell>
          <cell r="C9">
            <v>467.22470399999997</v>
          </cell>
        </row>
        <row r="10">
          <cell r="B10">
            <v>1998</v>
          </cell>
          <cell r="C10">
            <v>502.66847999999999</v>
          </cell>
        </row>
        <row r="11">
          <cell r="B11">
            <v>1999</v>
          </cell>
          <cell r="C11">
            <v>395.62396799999999</v>
          </cell>
        </row>
        <row r="12">
          <cell r="B12">
            <v>2000</v>
          </cell>
          <cell r="C12">
            <v>389.66670299999998</v>
          </cell>
        </row>
        <row r="13">
          <cell r="B13">
            <v>2001</v>
          </cell>
          <cell r="C13">
            <v>384.07104800000002</v>
          </cell>
        </row>
        <row r="14">
          <cell r="B14">
            <v>2002</v>
          </cell>
          <cell r="C14">
            <v>437.18994199999997</v>
          </cell>
        </row>
        <row r="15">
          <cell r="B15">
            <v>2003</v>
          </cell>
          <cell r="C15">
            <v>424.755381</v>
          </cell>
        </row>
        <row r="16">
          <cell r="B16">
            <v>2004</v>
          </cell>
          <cell r="C16">
            <v>555.220957</v>
          </cell>
        </row>
        <row r="17">
          <cell r="B17">
            <v>2005</v>
          </cell>
          <cell r="C17">
            <v>606.81868599999996</v>
          </cell>
        </row>
        <row r="18">
          <cell r="B18">
            <v>2006</v>
          </cell>
          <cell r="C18">
            <v>744.43998999999997</v>
          </cell>
        </row>
        <row r="19">
          <cell r="B19">
            <v>2007</v>
          </cell>
          <cell r="C19">
            <v>1159.244025</v>
          </cell>
        </row>
        <row r="20">
          <cell r="B20">
            <v>2008</v>
          </cell>
          <cell r="C20">
            <v>1553.6972290000001</v>
          </cell>
        </row>
        <row r="21">
          <cell r="B21">
            <v>2009</v>
          </cell>
          <cell r="C21">
            <v>709.75291600000003</v>
          </cell>
        </row>
        <row r="22">
          <cell r="B22">
            <v>2010</v>
          </cell>
          <cell r="C22">
            <v>581.85140799999999</v>
          </cell>
        </row>
        <row r="23">
          <cell r="B23">
            <v>2011</v>
          </cell>
          <cell r="C23">
            <v>816.16276600000003</v>
          </cell>
        </row>
        <row r="24">
          <cell r="B24">
            <v>2012</v>
          </cell>
          <cell r="C24">
            <v>837.44082900000001</v>
          </cell>
        </row>
        <row r="25">
          <cell r="B25">
            <v>2013</v>
          </cell>
          <cell r="C25">
            <v>1275.344873</v>
          </cell>
        </row>
        <row r="26">
          <cell r="B26">
            <v>2014</v>
          </cell>
          <cell r="C26">
            <v>2179.7027200000002</v>
          </cell>
        </row>
        <row r="27">
          <cell r="B27">
            <v>2015</v>
          </cell>
          <cell r="C27">
            <v>2278.7056090000001</v>
          </cell>
        </row>
      </sheetData>
      <sheetData sheetId="3">
        <row r="2">
          <cell r="C2" t="str">
            <v>Balanza Comercial Colombia 
(Precio CIF, US$ millones)</v>
          </cell>
        </row>
        <row r="3">
          <cell r="B3">
            <v>1991</v>
          </cell>
          <cell r="C3">
            <v>553.12448799999993</v>
          </cell>
        </row>
        <row r="4">
          <cell r="B4">
            <v>1992</v>
          </cell>
          <cell r="C4">
            <v>463.57084799999996</v>
          </cell>
        </row>
        <row r="5">
          <cell r="B5">
            <v>1993</v>
          </cell>
          <cell r="C5">
            <v>384.58038399999998</v>
          </cell>
        </row>
        <row r="6">
          <cell r="B6">
            <v>1994</v>
          </cell>
          <cell r="C6">
            <v>506.04859199999999</v>
          </cell>
        </row>
        <row r="7">
          <cell r="B7">
            <v>1995</v>
          </cell>
          <cell r="C7">
            <v>333.70431999999994</v>
          </cell>
        </row>
        <row r="8">
          <cell r="B8">
            <v>1996</v>
          </cell>
          <cell r="C8">
            <v>142.22988800000007</v>
          </cell>
        </row>
        <row r="9">
          <cell r="B9">
            <v>1997</v>
          </cell>
          <cell r="C9">
            <v>543.516032</v>
          </cell>
        </row>
        <row r="10">
          <cell r="B10">
            <v>1998</v>
          </cell>
          <cell r="C10">
            <v>343.44991999999996</v>
          </cell>
        </row>
        <row r="11">
          <cell r="B11">
            <v>1999</v>
          </cell>
          <cell r="C11">
            <v>401.98185599999999</v>
          </cell>
        </row>
        <row r="12">
          <cell r="B12">
            <v>2000</v>
          </cell>
          <cell r="C12">
            <v>292.64948200000003</v>
          </cell>
        </row>
        <row r="13">
          <cell r="B13">
            <v>2001</v>
          </cell>
          <cell r="C13">
            <v>171.90531099999998</v>
          </cell>
        </row>
        <row r="14">
          <cell r="B14">
            <v>2002</v>
          </cell>
          <cell r="C14">
            <v>144.00849600000004</v>
          </cell>
        </row>
        <row r="15">
          <cell r="B15">
            <v>2003</v>
          </cell>
          <cell r="C15">
            <v>188.75320100000005</v>
          </cell>
        </row>
        <row r="16">
          <cell r="B16">
            <v>2004</v>
          </cell>
          <cell r="C16">
            <v>106.860409</v>
          </cell>
        </row>
        <row r="17">
          <cell r="B17">
            <v>2005</v>
          </cell>
          <cell r="C17">
            <v>322.41781700000001</v>
          </cell>
        </row>
        <row r="18">
          <cell r="B18">
            <v>2006</v>
          </cell>
          <cell r="C18">
            <v>186.05574999999999</v>
          </cell>
        </row>
        <row r="19">
          <cell r="B19">
            <v>2007</v>
          </cell>
          <cell r="C19">
            <v>-228.09925199999998</v>
          </cell>
        </row>
        <row r="20">
          <cell r="B20">
            <v>2008</v>
          </cell>
          <cell r="C20">
            <v>-448.80335700000001</v>
          </cell>
        </row>
        <row r="21">
          <cell r="B21">
            <v>2009</v>
          </cell>
          <cell r="C21">
            <v>489.94446000000005</v>
          </cell>
        </row>
        <row r="22">
          <cell r="B22">
            <v>2010</v>
          </cell>
          <cell r="C22">
            <v>751.46944600000006</v>
          </cell>
        </row>
        <row r="23">
          <cell r="B23">
            <v>2011</v>
          </cell>
          <cell r="C23">
            <v>838.28004799999997</v>
          </cell>
        </row>
        <row r="24">
          <cell r="B24">
            <v>2012</v>
          </cell>
          <cell r="C24">
            <v>572.87089800000001</v>
          </cell>
        </row>
        <row r="25">
          <cell r="B25">
            <v>2013</v>
          </cell>
          <cell r="C25">
            <v>96.485791999999947</v>
          </cell>
        </row>
        <row r="26">
          <cell r="B26">
            <v>2014</v>
          </cell>
          <cell r="C26">
            <v>-541.10438500000032</v>
          </cell>
        </row>
        <row r="27">
          <cell r="B27">
            <v>2015</v>
          </cell>
          <cell r="C27">
            <v>-685.32762900000012</v>
          </cell>
        </row>
      </sheetData>
      <sheetData sheetId="4">
        <row r="6">
          <cell r="B6" t="str">
            <v>Total exportaciones
 a USA (US$ millones</v>
          </cell>
          <cell r="C6" t="str">
            <v>Pib Colombia a pesos corrientes
 (US$ miles de millones)</v>
          </cell>
          <cell r="D6" t="str">
            <v>Porcentaje de 
Exportaciones del PIB a USA</v>
          </cell>
        </row>
        <row r="7">
          <cell r="A7">
            <v>1991</v>
          </cell>
          <cell r="B7">
            <v>637.10092799999995</v>
          </cell>
          <cell r="C7">
            <v>41239.551378248201</v>
          </cell>
          <cell r="D7">
            <v>1.5448784157628804E-2</v>
          </cell>
        </row>
        <row r="8">
          <cell r="A8">
            <v>1992</v>
          </cell>
          <cell r="B8">
            <v>621.05683199999999</v>
          </cell>
          <cell r="C8">
            <v>49279.585355094838</v>
          </cell>
          <cell r="D8">
            <v>1.2602720325766523E-2</v>
          </cell>
        </row>
        <row r="9">
          <cell r="A9">
            <v>1993</v>
          </cell>
          <cell r="B9">
            <v>555.76319999999998</v>
          </cell>
          <cell r="C9">
            <v>55802.540100979531</v>
          </cell>
          <cell r="D9">
            <v>9.9594606086801478E-3</v>
          </cell>
        </row>
        <row r="10">
          <cell r="A10">
            <v>1994</v>
          </cell>
          <cell r="B10">
            <v>748.16031999999996</v>
          </cell>
          <cell r="C10">
            <v>81703.496603993364</v>
          </cell>
          <cell r="D10">
            <v>9.1570171546786969E-3</v>
          </cell>
        </row>
        <row r="11">
          <cell r="A11">
            <v>1995</v>
          </cell>
          <cell r="B11">
            <v>729.03270399999997</v>
          </cell>
          <cell r="C11">
            <v>92507.277798198498</v>
          </cell>
          <cell r="D11">
            <v>7.8808145840196502E-3</v>
          </cell>
        </row>
        <row r="12">
          <cell r="A12">
            <v>1996</v>
          </cell>
          <cell r="B12">
            <v>703.38444800000002</v>
          </cell>
          <cell r="C12">
            <v>97160.111573336981</v>
          </cell>
          <cell r="D12">
            <v>7.2394363963763217E-3</v>
          </cell>
        </row>
        <row r="13">
          <cell r="A13">
            <v>1997</v>
          </cell>
          <cell r="B13">
            <v>1010.740736</v>
          </cell>
          <cell r="C13">
            <v>106659.5079635281</v>
          </cell>
          <cell r="D13">
            <v>9.4763303834630459E-3</v>
          </cell>
        </row>
        <row r="14">
          <cell r="A14">
            <v>1998</v>
          </cell>
          <cell r="B14">
            <v>846.11839999999995</v>
          </cell>
          <cell r="C14">
            <v>98443.743190849113</v>
          </cell>
          <cell r="D14">
            <v>8.5949433917771965E-3</v>
          </cell>
        </row>
        <row r="15">
          <cell r="A15">
            <v>1999</v>
          </cell>
          <cell r="B15">
            <v>797.60582399999998</v>
          </cell>
          <cell r="C15">
            <v>86186.156584381664</v>
          </cell>
          <cell r="D15">
            <v>9.2544540284621429E-3</v>
          </cell>
        </row>
        <row r="16">
          <cell r="A16">
            <v>2000</v>
          </cell>
          <cell r="B16">
            <v>682.31618500000002</v>
          </cell>
          <cell r="C16">
            <v>99886.577575544405</v>
          </cell>
          <cell r="D16">
            <v>6.8309096333184806E-3</v>
          </cell>
        </row>
        <row r="17">
          <cell r="A17">
            <v>2001</v>
          </cell>
          <cell r="B17">
            <v>555.976359</v>
          </cell>
          <cell r="C17">
            <v>98203.544965267793</v>
          </cell>
          <cell r="D17">
            <v>5.6614693410165116E-3</v>
          </cell>
        </row>
        <row r="18">
          <cell r="A18">
            <v>2002</v>
          </cell>
          <cell r="B18">
            <v>581.19843800000001</v>
          </cell>
          <cell r="C18">
            <v>97933.392356425262</v>
          </cell>
          <cell r="D18">
            <v>5.9346298950285316E-3</v>
          </cell>
        </row>
        <row r="19">
          <cell r="A19">
            <v>2003</v>
          </cell>
          <cell r="B19">
            <v>613.50858200000005</v>
          </cell>
          <cell r="C19">
            <v>94684.582573316715</v>
          </cell>
          <cell r="D19">
            <v>6.4794981962870727E-3</v>
          </cell>
        </row>
        <row r="20">
          <cell r="A20">
            <v>2004</v>
          </cell>
          <cell r="B20">
            <v>662.081366</v>
          </cell>
          <cell r="C20">
            <v>117074.86551527939</v>
          </cell>
          <cell r="D20">
            <v>5.6551964683964721E-3</v>
          </cell>
        </row>
        <row r="21">
          <cell r="A21">
            <v>2005</v>
          </cell>
          <cell r="B21">
            <v>929.23650299999997</v>
          </cell>
          <cell r="C21">
            <v>146566.26631057015</v>
          </cell>
          <cell r="D21">
            <v>6.3400434928933217E-3</v>
          </cell>
        </row>
        <row r="22">
          <cell r="A22">
            <v>2006</v>
          </cell>
          <cell r="B22">
            <v>930.49573999999996</v>
          </cell>
          <cell r="C22">
            <v>162590.1460964143</v>
          </cell>
          <cell r="D22">
            <v>5.7229528500960039E-3</v>
          </cell>
        </row>
        <row r="23">
          <cell r="A23">
            <v>2007</v>
          </cell>
          <cell r="B23">
            <v>931.14477299999999</v>
          </cell>
          <cell r="C23">
            <v>207416.49464237894</v>
          </cell>
          <cell r="D23">
            <v>4.4892513230707651E-3</v>
          </cell>
        </row>
        <row r="24">
          <cell r="A24">
            <v>2008</v>
          </cell>
          <cell r="B24">
            <v>1104.8938720000001</v>
          </cell>
          <cell r="C24">
            <v>243982.43787084011</v>
          </cell>
          <cell r="D24">
            <v>4.5285795225347772E-3</v>
          </cell>
        </row>
        <row r="25">
          <cell r="A25">
            <v>2009</v>
          </cell>
          <cell r="B25">
            <v>1199.6973760000001</v>
          </cell>
          <cell r="C25">
            <v>233821.6705442575</v>
          </cell>
          <cell r="D25">
            <v>5.1308220200784287E-3</v>
          </cell>
        </row>
        <row r="26">
          <cell r="A26">
            <v>2010</v>
          </cell>
          <cell r="B26">
            <v>1333.3208540000001</v>
          </cell>
          <cell r="C26">
            <v>287018.18463752925</v>
          </cell>
          <cell r="D26">
            <v>4.6454229221881181E-3</v>
          </cell>
        </row>
        <row r="27">
          <cell r="A27">
            <v>2011</v>
          </cell>
          <cell r="B27">
            <v>1654.442814</v>
          </cell>
          <cell r="C27">
            <v>335415.15670218616</v>
          </cell>
          <cell r="D27">
            <v>4.9325225200510942E-3</v>
          </cell>
        </row>
        <row r="28">
          <cell r="A28">
            <v>2012</v>
          </cell>
          <cell r="B28">
            <v>1410.311727</v>
          </cell>
          <cell r="C28">
            <v>369659.70037551981</v>
          </cell>
          <cell r="D28">
            <v>3.8151622304712445E-3</v>
          </cell>
        </row>
        <row r="29">
          <cell r="A29">
            <v>2013</v>
          </cell>
          <cell r="B29">
            <v>1371.830665</v>
          </cell>
          <cell r="C29">
            <v>380191.88186037214</v>
          </cell>
          <cell r="D29">
            <v>3.6082586989687839E-3</v>
          </cell>
        </row>
        <row r="30">
          <cell r="A30">
            <v>2014</v>
          </cell>
          <cell r="B30">
            <v>1638.5983349999999</v>
          </cell>
          <cell r="C30">
            <v>378416.02053371473</v>
          </cell>
          <cell r="D30">
            <v>4.3301505382592805E-3</v>
          </cell>
        </row>
        <row r="31">
          <cell r="A31">
            <v>2015</v>
          </cell>
          <cell r="B31">
            <v>1593.37798</v>
          </cell>
          <cell r="C31">
            <v>292080.15563330991</v>
          </cell>
          <cell r="D31">
            <v>5.4552764002234909E-3</v>
          </cell>
        </row>
        <row r="35">
          <cell r="B35" t="str">
            <v>Total importaciones
 a Colombia (US$ millones)</v>
          </cell>
          <cell r="C35" t="str">
            <v>Pib Colombia a pesos corrientes
 (US$ miles de millones)</v>
          </cell>
          <cell r="D35" t="str">
            <v>Porcentaje de 
Importaciones del PIB a Colombia</v>
          </cell>
        </row>
        <row r="36">
          <cell r="A36">
            <v>1991</v>
          </cell>
          <cell r="B36">
            <v>83.976439999999997</v>
          </cell>
          <cell r="C36">
            <v>41239.551378248172</v>
          </cell>
          <cell r="D36">
            <v>2.0363082815758615E-9</v>
          </cell>
        </row>
        <row r="37">
          <cell r="A37">
            <v>1992</v>
          </cell>
          <cell r="B37">
            <v>157.485984</v>
          </cell>
          <cell r="C37">
            <v>49279.585355094838</v>
          </cell>
          <cell r="D37">
            <v>3.1957652010502987E-9</v>
          </cell>
        </row>
        <row r="38">
          <cell r="A38">
            <v>1993</v>
          </cell>
          <cell r="B38">
            <v>171.182816</v>
          </cell>
          <cell r="C38">
            <v>55802.540100979531</v>
          </cell>
          <cell r="D38">
            <v>3.0676527572083611E-9</v>
          </cell>
        </row>
        <row r="39">
          <cell r="A39">
            <v>1994</v>
          </cell>
          <cell r="B39">
            <v>242.111728</v>
          </cell>
          <cell r="C39">
            <v>81703.496603993364</v>
          </cell>
          <cell r="D39">
            <v>2.9632970198752362E-9</v>
          </cell>
        </row>
        <row r="40">
          <cell r="A40">
            <v>1995</v>
          </cell>
          <cell r="B40">
            <v>395.32838400000003</v>
          </cell>
          <cell r="C40">
            <v>92507.277798198498</v>
          </cell>
          <cell r="D40">
            <v>4.2734841345390746E-9</v>
          </cell>
        </row>
        <row r="41">
          <cell r="A41">
            <v>1996</v>
          </cell>
          <cell r="B41">
            <v>561.15455999999995</v>
          </cell>
          <cell r="C41">
            <v>97160.111573336981</v>
          </cell>
          <cell r="D41">
            <v>5.7755652079139226E-9</v>
          </cell>
        </row>
        <row r="42">
          <cell r="A42">
            <v>1997</v>
          </cell>
          <cell r="B42">
            <v>467.22470399999997</v>
          </cell>
          <cell r="C42">
            <v>106659.5079635281</v>
          </cell>
          <cell r="D42">
            <v>4.3805255895214338E-9</v>
          </cell>
        </row>
        <row r="43">
          <cell r="A43">
            <v>1998</v>
          </cell>
          <cell r="B43">
            <v>502.66847999999999</v>
          </cell>
          <cell r="C43">
            <v>98443.743190849113</v>
          </cell>
          <cell r="D43">
            <v>5.1061496008486369E-9</v>
          </cell>
        </row>
        <row r="44">
          <cell r="A44">
            <v>1999</v>
          </cell>
          <cell r="B44">
            <v>395.62396799999999</v>
          </cell>
          <cell r="C44">
            <v>86186.156584381664</v>
          </cell>
          <cell r="D44">
            <v>4.5903423899946078E-9</v>
          </cell>
        </row>
        <row r="45">
          <cell r="A45">
            <v>2000</v>
          </cell>
          <cell r="B45">
            <v>389.66670299999998</v>
          </cell>
          <cell r="C45">
            <v>99886.577575544405</v>
          </cell>
          <cell r="D45">
            <v>3.9010917428349607E-9</v>
          </cell>
        </row>
        <row r="46">
          <cell r="A46">
            <v>2001</v>
          </cell>
          <cell r="B46">
            <v>384.07104800000002</v>
          </cell>
          <cell r="C46">
            <v>98203.544965267793</v>
          </cell>
          <cell r="D46">
            <v>3.9109692846203934E-9</v>
          </cell>
        </row>
        <row r="47">
          <cell r="A47">
            <v>2002</v>
          </cell>
          <cell r="B47">
            <v>437.18994199999997</v>
          </cell>
          <cell r="C47">
            <v>97933.392356425262</v>
          </cell>
          <cell r="D47">
            <v>4.4641560093094914E-9</v>
          </cell>
        </row>
        <row r="48">
          <cell r="A48">
            <v>2003</v>
          </cell>
          <cell r="B48">
            <v>424.755381</v>
          </cell>
          <cell r="C48">
            <v>94684.582573316715</v>
          </cell>
          <cell r="D48">
            <v>4.4860036286382831E-9</v>
          </cell>
        </row>
        <row r="49">
          <cell r="A49">
            <v>2004</v>
          </cell>
          <cell r="B49">
            <v>555.220957</v>
          </cell>
          <cell r="C49">
            <v>117074.86551527939</v>
          </cell>
          <cell r="D49">
            <v>4.7424436881162878E-9</v>
          </cell>
        </row>
        <row r="50">
          <cell r="A50">
            <v>2005</v>
          </cell>
          <cell r="B50">
            <v>606.81868599999996</v>
          </cell>
          <cell r="C50">
            <v>146566.26631057015</v>
          </cell>
          <cell r="D50">
            <v>4.1402343204552042E-9</v>
          </cell>
        </row>
        <row r="51">
          <cell r="A51">
            <v>2006</v>
          </cell>
          <cell r="B51">
            <v>744.43998999999997</v>
          </cell>
          <cell r="C51">
            <v>162590.1460964143</v>
          </cell>
          <cell r="D51">
            <v>4.5786291966215141E-9</v>
          </cell>
        </row>
        <row r="52">
          <cell r="A52">
            <v>2007</v>
          </cell>
          <cell r="B52">
            <v>1159.244025</v>
          </cell>
          <cell r="C52">
            <v>207416.49464237894</v>
          </cell>
          <cell r="D52">
            <v>5.5889673914253175E-9</v>
          </cell>
        </row>
        <row r="53">
          <cell r="A53">
            <v>2008</v>
          </cell>
          <cell r="B53">
            <v>1553.6972290000001</v>
          </cell>
          <cell r="C53">
            <v>243982.43787084011</v>
          </cell>
          <cell r="D53">
            <v>6.3680699420771395E-9</v>
          </cell>
        </row>
        <row r="54">
          <cell r="A54">
            <v>2009</v>
          </cell>
          <cell r="B54">
            <v>709.75291600000003</v>
          </cell>
          <cell r="C54">
            <v>233821.6705442575</v>
          </cell>
          <cell r="D54">
            <v>3.0354454073821991E-9</v>
          </cell>
        </row>
        <row r="55">
          <cell r="A55">
            <v>2010</v>
          </cell>
          <cell r="B55">
            <v>581.85140799999999</v>
          </cell>
          <cell r="C55">
            <v>287018.18463752925</v>
          </cell>
          <cell r="D55">
            <v>2.0272283748669477E-9</v>
          </cell>
        </row>
        <row r="56">
          <cell r="A56">
            <v>2011</v>
          </cell>
          <cell r="B56">
            <v>816.16276600000003</v>
          </cell>
          <cell r="C56">
            <v>335415.15670218616</v>
          </cell>
          <cell r="D56">
            <v>2.4332912502361001E-9</v>
          </cell>
        </row>
        <row r="57">
          <cell r="A57">
            <v>2012</v>
          </cell>
          <cell r="B57">
            <v>837.44082900000001</v>
          </cell>
          <cell r="C57">
            <v>369659.70037551981</v>
          </cell>
          <cell r="D57">
            <v>2.2654371795174955E-9</v>
          </cell>
        </row>
        <row r="58">
          <cell r="A58">
            <v>2013</v>
          </cell>
          <cell r="B58">
            <v>1275.344873</v>
          </cell>
          <cell r="C58">
            <v>380191.88186037214</v>
          </cell>
          <cell r="D58">
            <v>3.3544768677316955E-9</v>
          </cell>
        </row>
        <row r="59">
          <cell r="A59">
            <v>2014</v>
          </cell>
          <cell r="B59">
            <v>2179.7027200000002</v>
          </cell>
          <cell r="C59">
            <v>378416.02053371473</v>
          </cell>
          <cell r="D59">
            <v>5.7600698747525707E-9</v>
          </cell>
        </row>
        <row r="60">
          <cell r="A60">
            <v>2015</v>
          </cell>
          <cell r="B60">
            <v>2278.7056090000001</v>
          </cell>
          <cell r="C60">
            <v>292080.15563330991</v>
          </cell>
          <cell r="D60">
            <v>7.801644737072743E-9</v>
          </cell>
        </row>
        <row r="65">
          <cell r="B65" t="str">
            <v>Total exportaciones
 a Colombia (US$ millones)</v>
          </cell>
          <cell r="C65" t="str">
            <v>Pib USA
 (US$ Billones)</v>
          </cell>
          <cell r="D65" t="str">
            <v>Porcentaje de 
Exportaciones del PIB a Colombia</v>
          </cell>
        </row>
        <row r="66">
          <cell r="A66">
            <v>1991</v>
          </cell>
          <cell r="B66">
            <v>83.976439999999997</v>
          </cell>
          <cell r="C66">
            <v>6174.0429999999997</v>
          </cell>
          <cell r="D66">
            <v>1.3601531443820523E-7</v>
          </cell>
        </row>
        <row r="67">
          <cell r="A67">
            <v>1992</v>
          </cell>
          <cell r="B67">
            <v>157.485984</v>
          </cell>
          <cell r="C67">
            <v>6539.299</v>
          </cell>
          <cell r="D67">
            <v>2.4083007062377789E-7</v>
          </cell>
        </row>
        <row r="68">
          <cell r="A68">
            <v>1993</v>
          </cell>
          <cell r="B68">
            <v>171.182816</v>
          </cell>
          <cell r="C68">
            <v>6878.7179999999998</v>
          </cell>
          <cell r="D68">
            <v>2.4885860417595255E-7</v>
          </cell>
        </row>
        <row r="69">
          <cell r="A69">
            <v>1994</v>
          </cell>
          <cell r="B69">
            <v>242.111728</v>
          </cell>
          <cell r="C69">
            <v>7308.7550000000001</v>
          </cell>
          <cell r="D69">
            <v>3.3126261312631222E-7</v>
          </cell>
        </row>
        <row r="70">
          <cell r="A70">
            <v>1995</v>
          </cell>
          <cell r="B70">
            <v>395.32838400000003</v>
          </cell>
          <cell r="C70">
            <v>7664.06</v>
          </cell>
          <cell r="D70">
            <v>5.1582109743399711E-7</v>
          </cell>
        </row>
        <row r="71">
          <cell r="A71">
            <v>1996</v>
          </cell>
          <cell r="B71">
            <v>561.15455999999995</v>
          </cell>
          <cell r="C71">
            <v>8100.201</v>
          </cell>
          <cell r="D71">
            <v>6.9276621654203387E-7</v>
          </cell>
        </row>
        <row r="72">
          <cell r="A72">
            <v>1997</v>
          </cell>
          <cell r="B72">
            <v>467.22470399999997</v>
          </cell>
          <cell r="C72">
            <v>8608.5149999999994</v>
          </cell>
          <cell r="D72">
            <v>5.4274715673957704E-7</v>
          </cell>
        </row>
        <row r="73">
          <cell r="A73">
            <v>1998</v>
          </cell>
          <cell r="B73">
            <v>502.66847999999999</v>
          </cell>
          <cell r="C73">
            <v>9089.1679999999997</v>
          </cell>
          <cell r="D73">
            <v>5.5304124645952189E-7</v>
          </cell>
        </row>
        <row r="74">
          <cell r="A74">
            <v>1999</v>
          </cell>
          <cell r="B74">
            <v>395.62396799999999</v>
          </cell>
          <cell r="C74">
            <v>9660.6239999999998</v>
          </cell>
          <cell r="D74">
            <v>4.095221675121607E-7</v>
          </cell>
        </row>
        <row r="75">
          <cell r="A75">
            <v>2000</v>
          </cell>
          <cell r="B75">
            <v>389.66670299999998</v>
          </cell>
          <cell r="C75">
            <v>10284.779</v>
          </cell>
          <cell r="D75">
            <v>3.7887707941998557E-7</v>
          </cell>
        </row>
        <row r="76">
          <cell r="A76">
            <v>2001</v>
          </cell>
          <cell r="B76">
            <v>384.07104800000002</v>
          </cell>
          <cell r="C76">
            <v>10621.824000000001</v>
          </cell>
          <cell r="D76">
            <v>3.6158671806273571E-7</v>
          </cell>
        </row>
        <row r="77">
          <cell r="A77">
            <v>2002</v>
          </cell>
          <cell r="B77">
            <v>437.18994199999997</v>
          </cell>
          <cell r="C77">
            <v>10977.513999999999</v>
          </cell>
          <cell r="D77">
            <v>3.982595166810992E-7</v>
          </cell>
        </row>
        <row r="78">
          <cell r="A78">
            <v>2003</v>
          </cell>
          <cell r="B78">
            <v>424.755381</v>
          </cell>
          <cell r="C78">
            <v>11510.67</v>
          </cell>
          <cell r="D78">
            <v>3.6901012799428701E-7</v>
          </cell>
        </row>
        <row r="79">
          <cell r="A79">
            <v>2004</v>
          </cell>
          <cell r="B79">
            <v>555.220957</v>
          </cell>
          <cell r="C79">
            <v>12274.928</v>
          </cell>
          <cell r="D79">
            <v>4.5232115170044178E-7</v>
          </cell>
        </row>
        <row r="80">
          <cell r="A80">
            <v>2005</v>
          </cell>
          <cell r="B80">
            <v>606.81868599999996</v>
          </cell>
          <cell r="C80">
            <v>13093.726000000001</v>
          </cell>
          <cell r="D80">
            <v>4.6344232802794245E-7</v>
          </cell>
        </row>
        <row r="81">
          <cell r="A81">
            <v>2006</v>
          </cell>
          <cell r="B81">
            <v>744.43998999999997</v>
          </cell>
          <cell r="C81">
            <v>13855.888000000001</v>
          </cell>
          <cell r="D81">
            <v>5.3727338875718388E-7</v>
          </cell>
        </row>
        <row r="82">
          <cell r="A82">
            <v>2007</v>
          </cell>
          <cell r="B82">
            <v>1159.244025</v>
          </cell>
          <cell r="C82">
            <v>14477.635</v>
          </cell>
          <cell r="D82">
            <v>8.0071366973956728E-7</v>
          </cell>
        </row>
        <row r="83">
          <cell r="A83">
            <v>2008</v>
          </cell>
          <cell r="B83">
            <v>1553.6972290000001</v>
          </cell>
          <cell r="C83">
            <v>14718.582</v>
          </cell>
          <cell r="D83">
            <v>1.0556025227158432E-6</v>
          </cell>
        </row>
        <row r="84">
          <cell r="A84">
            <v>2009</v>
          </cell>
          <cell r="B84">
            <v>709.75291600000003</v>
          </cell>
          <cell r="C84">
            <v>14418.739</v>
          </cell>
          <cell r="D84">
            <v>4.9224340353202873E-7</v>
          </cell>
        </row>
        <row r="85">
          <cell r="A85">
            <v>2010</v>
          </cell>
          <cell r="B85">
            <v>581.85140799999999</v>
          </cell>
          <cell r="C85">
            <v>14964.371999999999</v>
          </cell>
          <cell r="D85">
            <v>3.8882447455863833E-7</v>
          </cell>
        </row>
        <row r="86">
          <cell r="A86">
            <v>2011</v>
          </cell>
          <cell r="B86">
            <v>816.16276600000003</v>
          </cell>
          <cell r="C86">
            <v>15517.925999999999</v>
          </cell>
          <cell r="D86">
            <v>5.2594835546966779E-7</v>
          </cell>
        </row>
        <row r="87">
          <cell r="A87">
            <v>2012</v>
          </cell>
          <cell r="B87">
            <v>837.44082900000001</v>
          </cell>
          <cell r="C87">
            <v>16155.254999999999</v>
          </cell>
          <cell r="D87">
            <v>5.1837054196916118E-7</v>
          </cell>
        </row>
        <row r="88">
          <cell r="A88">
            <v>2013</v>
          </cell>
          <cell r="B88">
            <v>1275.344873</v>
          </cell>
          <cell r="C88">
            <v>16663.16</v>
          </cell>
          <cell r="D88">
            <v>7.6536795721819868E-7</v>
          </cell>
        </row>
        <row r="89">
          <cell r="A89">
            <v>2014</v>
          </cell>
          <cell r="B89">
            <v>2179.7027200000002</v>
          </cell>
          <cell r="C89">
            <v>17348.071499999998</v>
          </cell>
          <cell r="D89">
            <v>1.2564524650477724E-6</v>
          </cell>
        </row>
        <row r="90">
          <cell r="A90">
            <v>2015</v>
          </cell>
          <cell r="B90">
            <v>2278.7056090000001</v>
          </cell>
          <cell r="C90">
            <v>17946.995999999999</v>
          </cell>
          <cell r="D90">
            <v>1.2696863636677693E-6</v>
          </cell>
        </row>
        <row r="95">
          <cell r="B95" t="str">
            <v>Total importaciones a USA
 a Colombia (US$ millones)</v>
          </cell>
          <cell r="C95" t="str">
            <v>Pib USA
 (US$ Billones)</v>
          </cell>
          <cell r="D95" t="str">
            <v>Porcentaje de 
Importaciones del PIB en USA</v>
          </cell>
        </row>
        <row r="96">
          <cell r="A96">
            <v>1991</v>
          </cell>
          <cell r="B96">
            <v>637.10092799999995</v>
          </cell>
          <cell r="C96">
            <v>6174.0429999999997</v>
          </cell>
          <cell r="D96">
            <v>1.0319023174927678E-6</v>
          </cell>
        </row>
        <row r="97">
          <cell r="A97">
            <v>1992</v>
          </cell>
          <cell r="B97">
            <v>621.05683199999999</v>
          </cell>
          <cell r="C97">
            <v>6539.299</v>
          </cell>
          <cell r="D97">
            <v>9.4972998176104185E-7</v>
          </cell>
        </row>
        <row r="98">
          <cell r="A98">
            <v>1993</v>
          </cell>
          <cell r="B98">
            <v>555.76319999999998</v>
          </cell>
          <cell r="C98">
            <v>6878.7179999999998</v>
          </cell>
          <cell r="D98">
            <v>8.0794589922133742E-7</v>
          </cell>
        </row>
        <row r="99">
          <cell r="A99">
            <v>1994</v>
          </cell>
          <cell r="B99">
            <v>748.16031999999996</v>
          </cell>
          <cell r="C99">
            <v>7308.7550000000001</v>
          </cell>
          <cell r="D99">
            <v>1.0236494724477697E-6</v>
          </cell>
        </row>
        <row r="100">
          <cell r="A100">
            <v>1995</v>
          </cell>
          <cell r="B100">
            <v>729.03270399999997</v>
          </cell>
          <cell r="C100">
            <v>7664.06</v>
          </cell>
          <cell r="D100">
            <v>9.5123564272722279E-7</v>
          </cell>
        </row>
        <row r="101">
          <cell r="A101">
            <v>1996</v>
          </cell>
          <cell r="B101">
            <v>703.38444800000002</v>
          </cell>
          <cell r="C101">
            <v>8100.201</v>
          </cell>
          <cell r="D101">
            <v>8.6835431367690754E-7</v>
          </cell>
        </row>
        <row r="102">
          <cell r="A102">
            <v>1997</v>
          </cell>
          <cell r="B102">
            <v>1010.740736</v>
          </cell>
          <cell r="C102">
            <v>8608.5149999999994</v>
          </cell>
          <cell r="D102">
            <v>1.1741174128174255E-6</v>
          </cell>
        </row>
        <row r="103">
          <cell r="A103">
            <v>1998</v>
          </cell>
          <cell r="B103">
            <v>846.11839999999995</v>
          </cell>
          <cell r="C103">
            <v>9089.1679999999997</v>
          </cell>
          <cell r="D103">
            <v>9.3090852760120616E-7</v>
          </cell>
        </row>
        <row r="104">
          <cell r="A104">
            <v>1999</v>
          </cell>
          <cell r="B104">
            <v>797.60582399999998</v>
          </cell>
          <cell r="C104">
            <v>9660.6239999999998</v>
          </cell>
          <cell r="D104">
            <v>8.2562557449705111E-7</v>
          </cell>
        </row>
        <row r="105">
          <cell r="A105">
            <v>2000</v>
          </cell>
          <cell r="B105">
            <v>682.31618500000002</v>
          </cell>
          <cell r="C105">
            <v>10284.779</v>
          </cell>
          <cell r="D105">
            <v>6.6342328308658841E-7</v>
          </cell>
        </row>
        <row r="106">
          <cell r="A106">
            <v>2001</v>
          </cell>
          <cell r="B106">
            <v>555.976359</v>
          </cell>
          <cell r="C106">
            <v>10621.824000000001</v>
          </cell>
          <cell r="D106">
            <v>5.2342832925870355E-7</v>
          </cell>
        </row>
        <row r="107">
          <cell r="A107">
            <v>2002</v>
          </cell>
          <cell r="B107">
            <v>581.19843800000001</v>
          </cell>
          <cell r="C107">
            <v>10977.513999999999</v>
          </cell>
          <cell r="D107">
            <v>5.2944449717850512E-7</v>
          </cell>
        </row>
        <row r="108">
          <cell r="A108">
            <v>2003</v>
          </cell>
          <cell r="B108">
            <v>613.50858200000005</v>
          </cell>
          <cell r="C108">
            <v>11510.67</v>
          </cell>
          <cell r="D108">
            <v>5.3299120033846862E-7</v>
          </cell>
        </row>
        <row r="109">
          <cell r="A109">
            <v>2004</v>
          </cell>
          <cell r="B109">
            <v>662.081366</v>
          </cell>
          <cell r="C109">
            <v>12274.928</v>
          </cell>
          <cell r="D109">
            <v>5.3937698534769413E-7</v>
          </cell>
        </row>
        <row r="110">
          <cell r="A110">
            <v>2005</v>
          </cell>
          <cell r="B110">
            <v>929.23650299999997</v>
          </cell>
          <cell r="C110">
            <v>13093.726000000001</v>
          </cell>
          <cell r="D110">
            <v>7.0968073029785399E-7</v>
          </cell>
        </row>
        <row r="111">
          <cell r="A111">
            <v>2006</v>
          </cell>
          <cell r="B111">
            <v>930.49573999999996</v>
          </cell>
          <cell r="C111">
            <v>13855.888000000001</v>
          </cell>
          <cell r="D111">
            <v>6.7155258472066157E-7</v>
          </cell>
        </row>
        <row r="112">
          <cell r="A112">
            <v>2007</v>
          </cell>
          <cell r="B112">
            <v>931.14477299999999</v>
          </cell>
          <cell r="C112">
            <v>14477.635</v>
          </cell>
          <cell r="D112">
            <v>6.4316082909950418E-7</v>
          </cell>
        </row>
        <row r="113">
          <cell r="A113">
            <v>2008</v>
          </cell>
          <cell r="B113">
            <v>1104.8938720000001</v>
          </cell>
          <cell r="C113">
            <v>14718.582</v>
          </cell>
          <cell r="D113">
            <v>7.506795641047487E-7</v>
          </cell>
        </row>
        <row r="114">
          <cell r="A114">
            <v>2009</v>
          </cell>
          <cell r="B114">
            <v>1199.6973760000001</v>
          </cell>
          <cell r="C114">
            <v>14418.739</v>
          </cell>
          <cell r="D114">
            <v>8.3204042739105006E-7</v>
          </cell>
        </row>
        <row r="115">
          <cell r="A115">
            <v>2010</v>
          </cell>
          <cell r="B115">
            <v>1333.3208540000001</v>
          </cell>
          <cell r="C115">
            <v>14964.371999999999</v>
          </cell>
          <cell r="D115">
            <v>8.9099686508728874E-7</v>
          </cell>
        </row>
        <row r="116">
          <cell r="A116">
            <v>2011</v>
          </cell>
          <cell r="B116">
            <v>1654.442814</v>
          </cell>
          <cell r="C116">
            <v>15517.925999999999</v>
          </cell>
          <cell r="D116">
            <v>1.066149441619969E-6</v>
          </cell>
        </row>
        <row r="117">
          <cell r="A117">
            <v>2012</v>
          </cell>
          <cell r="B117">
            <v>1410.311727</v>
          </cell>
          <cell r="C117">
            <v>16155.254999999999</v>
          </cell>
          <cell r="D117">
            <v>8.7297398091209334E-7</v>
          </cell>
        </row>
        <row r="118">
          <cell r="A118">
            <v>2013</v>
          </cell>
          <cell r="B118">
            <v>1371.830665</v>
          </cell>
          <cell r="C118">
            <v>16663.16</v>
          </cell>
          <cell r="D118">
            <v>8.232716153478692E-7</v>
          </cell>
        </row>
        <row r="119">
          <cell r="A119">
            <v>2014</v>
          </cell>
          <cell r="B119">
            <v>1638.5983349999999</v>
          </cell>
          <cell r="C119">
            <v>17348.071499999998</v>
          </cell>
          <cell r="D119">
            <v>9.4454206912854842E-7</v>
          </cell>
        </row>
        <row r="120">
          <cell r="A120">
            <v>2015</v>
          </cell>
          <cell r="B120">
            <v>1593.37798</v>
          </cell>
          <cell r="C120">
            <v>17946.995999999999</v>
          </cell>
          <cell r="D120">
            <v>8.8782433561583231E-7</v>
          </cell>
        </row>
        <row r="124">
          <cell r="B124" t="str">
            <v>Balanza Comercial Absoluta Colombia 
(Precio CIF, US$ millones)</v>
          </cell>
          <cell r="C124" t="str">
            <v>Pib Colombia a pesos corrientes
 (US$ miles de millones)</v>
          </cell>
          <cell r="D124" t="str">
            <v>Porcentaje de 
Intercambio Comercial del PIB Colombia</v>
          </cell>
        </row>
        <row r="125">
          <cell r="A125">
            <v>1991</v>
          </cell>
          <cell r="B125">
            <v>721.07736799999998</v>
          </cell>
          <cell r="C125">
            <v>41239.551378248201</v>
          </cell>
          <cell r="D125">
            <v>1.7485092439204666E-2</v>
          </cell>
        </row>
        <row r="126">
          <cell r="A126">
            <v>1992</v>
          </cell>
          <cell r="B126">
            <v>778.54281600000002</v>
          </cell>
          <cell r="C126">
            <v>49279.585355094838</v>
          </cell>
          <cell r="D126">
            <v>1.579848552681682E-2</v>
          </cell>
        </row>
        <row r="127">
          <cell r="A127">
            <v>1993</v>
          </cell>
          <cell r="B127">
            <v>726.94601599999999</v>
          </cell>
          <cell r="C127">
            <v>55802.540100979531</v>
          </cell>
          <cell r="D127">
            <v>1.3027113365888509E-2</v>
          </cell>
        </row>
        <row r="128">
          <cell r="A128">
            <v>1994</v>
          </cell>
          <cell r="B128">
            <v>990.27204799999993</v>
          </cell>
          <cell r="C128">
            <v>81703.496603993364</v>
          </cell>
          <cell r="D128">
            <v>1.2120314174553934E-2</v>
          </cell>
        </row>
        <row r="129">
          <cell r="A129">
            <v>1995</v>
          </cell>
          <cell r="B129">
            <v>1124.3610880000001</v>
          </cell>
          <cell r="C129">
            <v>92507.277798198498</v>
          </cell>
          <cell r="D129">
            <v>1.2154298718558726E-2</v>
          </cell>
        </row>
        <row r="130">
          <cell r="A130">
            <v>1996</v>
          </cell>
          <cell r="B130">
            <v>1264.539008</v>
          </cell>
          <cell r="C130">
            <v>97160.111573336981</v>
          </cell>
          <cell r="D130">
            <v>1.3015001604290245E-2</v>
          </cell>
        </row>
        <row r="131">
          <cell r="A131">
            <v>1997</v>
          </cell>
          <cell r="B131">
            <v>1477.9654399999999</v>
          </cell>
          <cell r="C131">
            <v>106659.5079635281</v>
          </cell>
          <cell r="D131">
            <v>1.3856855972984479E-2</v>
          </cell>
        </row>
        <row r="132">
          <cell r="A132">
            <v>1998</v>
          </cell>
          <cell r="B132">
            <v>1348.7868799999999</v>
          </cell>
          <cell r="C132">
            <v>98443.743190849113</v>
          </cell>
          <cell r="D132">
            <v>1.3701092992625834E-2</v>
          </cell>
        </row>
        <row r="133">
          <cell r="A133">
            <v>1999</v>
          </cell>
          <cell r="B133">
            <v>1193.2297920000001</v>
          </cell>
          <cell r="C133">
            <v>86186.156584381664</v>
          </cell>
          <cell r="D133">
            <v>1.3844796418456751E-2</v>
          </cell>
        </row>
        <row r="134">
          <cell r="A134">
            <v>2000</v>
          </cell>
          <cell r="B134">
            <v>1071.982888</v>
          </cell>
          <cell r="C134">
            <v>99886.577575544405</v>
          </cell>
          <cell r="D134">
            <v>1.0732001376153441E-2</v>
          </cell>
        </row>
        <row r="135">
          <cell r="A135">
            <v>2001</v>
          </cell>
          <cell r="B135">
            <v>940.04740700000002</v>
          </cell>
          <cell r="C135">
            <v>98203.544965267793</v>
          </cell>
          <cell r="D135">
            <v>9.5724386256369042E-3</v>
          </cell>
        </row>
        <row r="136">
          <cell r="A136">
            <v>2002</v>
          </cell>
          <cell r="B136">
            <v>1018.38838</v>
          </cell>
          <cell r="C136">
            <v>97933.392356425305</v>
          </cell>
          <cell r="D136">
            <v>1.0398785904338017E-2</v>
          </cell>
        </row>
        <row r="137">
          <cell r="A137">
            <v>2003</v>
          </cell>
          <cell r="B137">
            <v>1038.2639630000001</v>
          </cell>
          <cell r="C137">
            <v>94684.582573316715</v>
          </cell>
          <cell r="D137">
            <v>1.0965501824925358E-2</v>
          </cell>
        </row>
        <row r="138">
          <cell r="A138">
            <v>2004</v>
          </cell>
          <cell r="B138">
            <v>1217.3023229999999</v>
          </cell>
          <cell r="C138">
            <v>117074.86551527939</v>
          </cell>
          <cell r="D138">
            <v>1.0397640156512759E-2</v>
          </cell>
        </row>
        <row r="139">
          <cell r="A139">
            <v>2005</v>
          </cell>
          <cell r="B139">
            <v>1536.0551889999999</v>
          </cell>
          <cell r="C139">
            <v>146566.26631057015</v>
          </cell>
          <cell r="D139">
            <v>1.0480277813348527E-2</v>
          </cell>
        </row>
        <row r="140">
          <cell r="A140">
            <v>2006</v>
          </cell>
          <cell r="B140">
            <v>1674.9357299999999</v>
          </cell>
          <cell r="C140">
            <v>162590.1460964143</v>
          </cell>
          <cell r="D140">
            <v>1.0301582046717517E-2</v>
          </cell>
        </row>
        <row r="141">
          <cell r="A141">
            <v>2007</v>
          </cell>
          <cell r="B141">
            <v>2090.388798</v>
          </cell>
          <cell r="C141">
            <v>207416.49464237894</v>
          </cell>
          <cell r="D141">
            <v>1.0078218714496084E-2</v>
          </cell>
        </row>
        <row r="142">
          <cell r="A142">
            <v>2008</v>
          </cell>
          <cell r="B142">
            <v>2658.591101</v>
          </cell>
          <cell r="C142">
            <v>243982.43787084011</v>
          </cell>
          <cell r="D142">
            <v>1.0896649464611916E-2</v>
          </cell>
        </row>
        <row r="143">
          <cell r="A143">
            <v>2009</v>
          </cell>
          <cell r="B143">
            <v>1909.450292</v>
          </cell>
          <cell r="C143">
            <v>233821.6705442575</v>
          </cell>
          <cell r="D143">
            <v>8.1662674274606273E-3</v>
          </cell>
        </row>
        <row r="144">
          <cell r="A144">
            <v>2010</v>
          </cell>
          <cell r="B144">
            <v>1915.172262</v>
          </cell>
          <cell r="C144">
            <v>287018.18463752925</v>
          </cell>
          <cell r="D144">
            <v>6.6726512970550662E-3</v>
          </cell>
        </row>
        <row r="145">
          <cell r="A145">
            <v>2011</v>
          </cell>
          <cell r="B145">
            <v>2470.6055799999999</v>
          </cell>
          <cell r="C145">
            <v>335415.15670218616</v>
          </cell>
          <cell r="D145">
            <v>7.365813770287194E-3</v>
          </cell>
        </row>
        <row r="146">
          <cell r="A146">
            <v>2012</v>
          </cell>
          <cell r="B146">
            <v>2247.7525559999999</v>
          </cell>
          <cell r="C146">
            <v>369659.70037551981</v>
          </cell>
          <cell r="D146">
            <v>6.080599409988739E-3</v>
          </cell>
        </row>
        <row r="147">
          <cell r="A147">
            <v>2013</v>
          </cell>
          <cell r="B147">
            <v>2647.175538</v>
          </cell>
          <cell r="C147">
            <v>380191.88186037214</v>
          </cell>
          <cell r="D147">
            <v>6.9627355667004794E-3</v>
          </cell>
        </row>
        <row r="148">
          <cell r="A148">
            <v>2014</v>
          </cell>
          <cell r="B148">
            <v>3818.3010549999999</v>
          </cell>
          <cell r="C148">
            <v>378416.02053371473</v>
          </cell>
          <cell r="D148">
            <v>1.0090220413011851E-2</v>
          </cell>
        </row>
        <row r="149">
          <cell r="A149">
            <v>2015</v>
          </cell>
          <cell r="B149">
            <v>3872.0835889999998</v>
          </cell>
          <cell r="C149">
            <v>292080.15563330991</v>
          </cell>
          <cell r="D149">
            <v>1.3256921137296233E-2</v>
          </cell>
        </row>
        <row r="153">
          <cell r="B153" t="str">
            <v>Balanza Comercial Absoluta USA
(Precio CIF, US$ millones)</v>
          </cell>
          <cell r="C153" t="str">
            <v>Pib USA
 (US$ Billones)</v>
          </cell>
          <cell r="D153" t="str">
            <v>Porcentaje de 
Intercambio Comercial del PIB USA</v>
          </cell>
        </row>
        <row r="154">
          <cell r="A154">
            <v>1991</v>
          </cell>
          <cell r="B154">
            <v>721.07736799999998</v>
          </cell>
          <cell r="C154">
            <v>6174.0429999999997</v>
          </cell>
          <cell r="D154">
            <v>1.167917631930973E-6</v>
          </cell>
        </row>
        <row r="155">
          <cell r="A155">
            <v>1992</v>
          </cell>
          <cell r="B155">
            <v>778.54281600000002</v>
          </cell>
          <cell r="C155">
            <v>6539.299</v>
          </cell>
          <cell r="D155">
            <v>1.19056005238482E-6</v>
          </cell>
        </row>
        <row r="156">
          <cell r="A156">
            <v>1993</v>
          </cell>
          <cell r="B156">
            <v>726.94601599999999</v>
          </cell>
          <cell r="C156">
            <v>6878.7179999999998</v>
          </cell>
          <cell r="D156">
            <v>1.0568045033972901E-6</v>
          </cell>
        </row>
        <row r="157">
          <cell r="A157">
            <v>1994</v>
          </cell>
          <cell r="B157">
            <v>990.27204799999993</v>
          </cell>
          <cell r="C157">
            <v>7308.7550000000001</v>
          </cell>
          <cell r="D157">
            <v>1.3549120855740821E-6</v>
          </cell>
        </row>
        <row r="158">
          <cell r="A158">
            <v>1995</v>
          </cell>
          <cell r="B158">
            <v>1124.3610880000001</v>
          </cell>
          <cell r="C158">
            <v>7664.06</v>
          </cell>
          <cell r="D158">
            <v>1.4670567401612201E-6</v>
          </cell>
        </row>
        <row r="159">
          <cell r="A159">
            <v>1996</v>
          </cell>
          <cell r="B159">
            <v>1264.539008</v>
          </cell>
          <cell r="C159">
            <v>8100.201</v>
          </cell>
          <cell r="D159">
            <v>1.5611205302189416E-6</v>
          </cell>
        </row>
        <row r="160">
          <cell r="A160">
            <v>1997</v>
          </cell>
          <cell r="B160">
            <v>1477.9654399999999</v>
          </cell>
          <cell r="C160">
            <v>8608.5149999999994</v>
          </cell>
          <cell r="D160">
            <v>1.7168645695570027E-6</v>
          </cell>
        </row>
        <row r="161">
          <cell r="A161">
            <v>1998</v>
          </cell>
          <cell r="B161">
            <v>1348.7868799999999</v>
          </cell>
          <cell r="C161">
            <v>9089.1679999999997</v>
          </cell>
          <cell r="D161">
            <v>1.4839497740607281E-6</v>
          </cell>
        </row>
        <row r="162">
          <cell r="A162">
            <v>1999</v>
          </cell>
          <cell r="B162">
            <v>1193.2297920000001</v>
          </cell>
          <cell r="C162">
            <v>9660.6239999999998</v>
          </cell>
          <cell r="D162">
            <v>1.2351477420092119E-6</v>
          </cell>
        </row>
        <row r="163">
          <cell r="A163">
            <v>2000</v>
          </cell>
          <cell r="B163">
            <v>1071.982888</v>
          </cell>
          <cell r="C163">
            <v>10284.779</v>
          </cell>
          <cell r="D163">
            <v>1.042300362506574E-6</v>
          </cell>
        </row>
        <row r="164">
          <cell r="A164">
            <v>2001</v>
          </cell>
          <cell r="B164">
            <v>940.04740700000002</v>
          </cell>
          <cell r="C164">
            <v>10621.824000000001</v>
          </cell>
          <cell r="D164">
            <v>8.8501504732143942E-7</v>
          </cell>
        </row>
        <row r="165">
          <cell r="A165">
            <v>2002</v>
          </cell>
          <cell r="B165">
            <v>1018.38838</v>
          </cell>
          <cell r="C165">
            <v>10977.513999999999</v>
          </cell>
          <cell r="D165">
            <v>9.2770401385960437E-7</v>
          </cell>
        </row>
        <row r="166">
          <cell r="A166">
            <v>2003</v>
          </cell>
          <cell r="B166">
            <v>1038.2639630000001</v>
          </cell>
          <cell r="C166">
            <v>11510.67</v>
          </cell>
          <cell r="D166">
            <v>9.0200132833275579E-7</v>
          </cell>
        </row>
        <row r="167">
          <cell r="A167">
            <v>2004</v>
          </cell>
          <cell r="B167">
            <v>1217.3023229999999</v>
          </cell>
          <cell r="C167">
            <v>12274.928</v>
          </cell>
          <cell r="D167">
            <v>9.916981370481357E-7</v>
          </cell>
        </row>
        <row r="168">
          <cell r="A168">
            <v>2005</v>
          </cell>
          <cell r="B168">
            <v>1536.0551889999999</v>
          </cell>
          <cell r="C168">
            <v>13093.726000000001</v>
          </cell>
          <cell r="D168">
            <v>1.1731230583257964E-6</v>
          </cell>
        </row>
        <row r="169">
          <cell r="A169">
            <v>2006</v>
          </cell>
          <cell r="B169">
            <v>1674.9357299999999</v>
          </cell>
          <cell r="C169">
            <v>13855.888000000001</v>
          </cell>
          <cell r="D169">
            <v>1.2088259734778457E-6</v>
          </cell>
        </row>
        <row r="170">
          <cell r="A170">
            <v>2007</v>
          </cell>
          <cell r="B170">
            <v>2090.388798</v>
          </cell>
          <cell r="C170">
            <v>14477.635</v>
          </cell>
          <cell r="D170">
            <v>1.4438744988390713E-6</v>
          </cell>
        </row>
        <row r="171">
          <cell r="A171">
            <v>2008</v>
          </cell>
          <cell r="B171">
            <v>2658.591101</v>
          </cell>
          <cell r="C171">
            <v>14718.582</v>
          </cell>
          <cell r="D171">
            <v>1.8062820868205918E-6</v>
          </cell>
        </row>
        <row r="172">
          <cell r="A172">
            <v>2009</v>
          </cell>
          <cell r="B172">
            <v>1909.450292</v>
          </cell>
          <cell r="C172">
            <v>14418.739</v>
          </cell>
          <cell r="D172">
            <v>1.3242838309230787E-6</v>
          </cell>
        </row>
        <row r="173">
          <cell r="A173">
            <v>2010</v>
          </cell>
          <cell r="B173">
            <v>1915.172262</v>
          </cell>
          <cell r="C173">
            <v>14964.371999999999</v>
          </cell>
          <cell r="D173">
            <v>1.279821339645927E-6</v>
          </cell>
        </row>
        <row r="174">
          <cell r="A174">
            <v>2011</v>
          </cell>
          <cell r="B174">
            <v>2470.6055799999999</v>
          </cell>
          <cell r="C174">
            <v>15517.925999999999</v>
          </cell>
          <cell r="D174">
            <v>1.592097797089637E-6</v>
          </cell>
        </row>
        <row r="175">
          <cell r="A175">
            <v>2012</v>
          </cell>
          <cell r="B175">
            <v>2247.7525559999999</v>
          </cell>
          <cell r="C175">
            <v>16155.254999999999</v>
          </cell>
          <cell r="D175">
            <v>1.3913445228812544E-6</v>
          </cell>
        </row>
        <row r="176">
          <cell r="A176">
            <v>2013</v>
          </cell>
          <cell r="B176">
            <v>2647.175538</v>
          </cell>
          <cell r="C176">
            <v>16663.16</v>
          </cell>
          <cell r="D176">
            <v>1.588639572566068E-6</v>
          </cell>
        </row>
        <row r="177">
          <cell r="A177">
            <v>2014</v>
          </cell>
          <cell r="B177">
            <v>3818.3010549999999</v>
          </cell>
          <cell r="C177">
            <v>17348.071499999998</v>
          </cell>
          <cell r="D177">
            <v>2.2009945341763205E-6</v>
          </cell>
        </row>
        <row r="178">
          <cell r="A178">
            <v>2015</v>
          </cell>
          <cell r="B178">
            <v>3872.0835889999998</v>
          </cell>
          <cell r="C178">
            <v>17946.995999999999</v>
          </cell>
          <cell r="D178">
            <v>2.1575106992836015E-6</v>
          </cell>
        </row>
        <row r="183">
          <cell r="B183" t="str">
            <v>Balanza Comercial Absoluta Colombia 
(Precio CIF, US$ millones)</v>
          </cell>
          <cell r="C183" t="str">
            <v>Balanza Comercial Absoluta Colombia 
(Precio CIF, US$ millones)/2</v>
          </cell>
          <cell r="D183" t="str">
            <v>Pib Colombia a pesos corrientes
 (US$ miles de millones)</v>
          </cell>
          <cell r="E183" t="str">
            <v>Porcentaje de 
Intercambio Comercial del PIB Colombia</v>
          </cell>
        </row>
        <row r="184">
          <cell r="A184">
            <v>1991</v>
          </cell>
          <cell r="B184">
            <v>721.07736799999998</v>
          </cell>
          <cell r="C184">
            <v>360.53868399999999</v>
          </cell>
          <cell r="D184">
            <v>41239.551378248201</v>
          </cell>
          <cell r="E184">
            <v>8.7425462196023332E-3</v>
          </cell>
        </row>
        <row r="185">
          <cell r="A185">
            <v>1992</v>
          </cell>
          <cell r="B185">
            <v>778.54281600000002</v>
          </cell>
          <cell r="C185">
            <v>389.27140800000001</v>
          </cell>
          <cell r="D185">
            <v>49279.585355094838</v>
          </cell>
          <cell r="E185">
            <v>7.8992427634084102E-3</v>
          </cell>
        </row>
        <row r="186">
          <cell r="A186">
            <v>1993</v>
          </cell>
          <cell r="B186">
            <v>726.94601599999999</v>
          </cell>
          <cell r="C186">
            <v>363.47300799999999</v>
          </cell>
          <cell r="D186">
            <v>55802.540100979531</v>
          </cell>
          <cell r="E186">
            <v>6.5135566829442543E-3</v>
          </cell>
        </row>
        <row r="187">
          <cell r="A187">
            <v>1994</v>
          </cell>
          <cell r="B187">
            <v>990.27204799999993</v>
          </cell>
          <cell r="C187">
            <v>495.13602399999996</v>
          </cell>
          <cell r="D187">
            <v>81703.496603993364</v>
          </cell>
          <cell r="E187">
            <v>6.0601570872769669E-3</v>
          </cell>
        </row>
        <row r="188">
          <cell r="A188">
            <v>1995</v>
          </cell>
          <cell r="B188">
            <v>1124.3610880000001</v>
          </cell>
          <cell r="C188">
            <v>562.18054400000005</v>
          </cell>
          <cell r="D188">
            <v>92507.277798198498</v>
          </cell>
          <cell r="E188">
            <v>6.0771493592793628E-3</v>
          </cell>
        </row>
        <row r="189">
          <cell r="A189">
            <v>1996</v>
          </cell>
          <cell r="B189">
            <v>1264.539008</v>
          </cell>
          <cell r="C189">
            <v>632.26950399999998</v>
          </cell>
          <cell r="D189">
            <v>97160.111573336981</v>
          </cell>
          <cell r="E189">
            <v>6.5075008021451223E-3</v>
          </cell>
        </row>
        <row r="190">
          <cell r="A190">
            <v>1997</v>
          </cell>
          <cell r="B190">
            <v>1477.9654399999999</v>
          </cell>
          <cell r="C190">
            <v>738.98271999999997</v>
          </cell>
          <cell r="D190">
            <v>106659.5079635281</v>
          </cell>
          <cell r="E190">
            <v>6.9284279864922395E-3</v>
          </cell>
        </row>
        <row r="191">
          <cell r="A191">
            <v>1998</v>
          </cell>
          <cell r="B191">
            <v>1348.7868799999999</v>
          </cell>
          <cell r="C191">
            <v>674.39343999999994</v>
          </cell>
          <cell r="D191">
            <v>98443.743190849113</v>
          </cell>
          <cell r="E191">
            <v>6.8505464963129169E-3</v>
          </cell>
        </row>
        <row r="192">
          <cell r="A192">
            <v>1999</v>
          </cell>
          <cell r="B192">
            <v>1193.2297920000001</v>
          </cell>
          <cell r="C192">
            <v>596.61489600000004</v>
          </cell>
          <cell r="D192">
            <v>86186.156584381664</v>
          </cell>
          <cell r="E192">
            <v>6.9223982092283757E-3</v>
          </cell>
        </row>
        <row r="193">
          <cell r="A193">
            <v>2000</v>
          </cell>
          <cell r="B193">
            <v>1071.982888</v>
          </cell>
          <cell r="C193">
            <v>535.991444</v>
          </cell>
          <cell r="D193">
            <v>99886.577575544405</v>
          </cell>
          <cell r="E193">
            <v>5.3660006880767207E-3</v>
          </cell>
        </row>
        <row r="194">
          <cell r="A194">
            <v>2001</v>
          </cell>
          <cell r="B194">
            <v>940.04740700000002</v>
          </cell>
          <cell r="C194">
            <v>470.02370350000001</v>
          </cell>
          <cell r="D194">
            <v>98203.544965267793</v>
          </cell>
          <cell r="E194">
            <v>4.7862193128184521E-3</v>
          </cell>
        </row>
        <row r="195">
          <cell r="A195">
            <v>2002</v>
          </cell>
          <cell r="B195">
            <v>1018.38838</v>
          </cell>
          <cell r="C195">
            <v>509.19418999999999</v>
          </cell>
          <cell r="D195">
            <v>97933.392356425305</v>
          </cell>
          <cell r="E195">
            <v>5.1993929521690083E-3</v>
          </cell>
        </row>
        <row r="196">
          <cell r="A196">
            <v>2003</v>
          </cell>
          <cell r="B196">
            <v>1038.2639630000001</v>
          </cell>
          <cell r="C196">
            <v>519.13198150000005</v>
          </cell>
          <cell r="D196">
            <v>94684.582573316715</v>
          </cell>
          <cell r="E196">
            <v>5.482750912462679E-3</v>
          </cell>
        </row>
        <row r="197">
          <cell r="A197">
            <v>2004</v>
          </cell>
          <cell r="B197">
            <v>1217.3023229999999</v>
          </cell>
          <cell r="C197">
            <v>608.65116149999994</v>
          </cell>
          <cell r="D197">
            <v>117074.86551527939</v>
          </cell>
          <cell r="E197">
            <v>5.1988200782563795E-3</v>
          </cell>
        </row>
        <row r="198">
          <cell r="A198">
            <v>2005</v>
          </cell>
          <cell r="B198">
            <v>1536.0551889999999</v>
          </cell>
          <cell r="C198">
            <v>768.02759449999996</v>
          </cell>
          <cell r="D198">
            <v>146566.26631057015</v>
          </cell>
          <cell r="E198">
            <v>5.2401389066742635E-3</v>
          </cell>
        </row>
        <row r="199">
          <cell r="A199">
            <v>2006</v>
          </cell>
          <cell r="B199">
            <v>1674.9357299999999</v>
          </cell>
          <cell r="C199">
            <v>837.46786499999996</v>
          </cell>
          <cell r="D199">
            <v>162590.1460964143</v>
          </cell>
          <cell r="E199">
            <v>5.1507910233587586E-3</v>
          </cell>
        </row>
        <row r="200">
          <cell r="A200">
            <v>2007</v>
          </cell>
          <cell r="B200">
            <v>2090.388798</v>
          </cell>
          <cell r="C200">
            <v>1045.194399</v>
          </cell>
          <cell r="D200">
            <v>207416.49464237894</v>
          </cell>
          <cell r="E200">
            <v>5.0391093572480419E-3</v>
          </cell>
        </row>
        <row r="201">
          <cell r="A201">
            <v>2008</v>
          </cell>
          <cell r="B201">
            <v>2658.591101</v>
          </cell>
          <cell r="C201">
            <v>1329.2955505</v>
          </cell>
          <cell r="D201">
            <v>243982.43787084011</v>
          </cell>
          <cell r="E201">
            <v>5.4483247323059581E-3</v>
          </cell>
        </row>
        <row r="202">
          <cell r="A202">
            <v>2009</v>
          </cell>
          <cell r="B202">
            <v>1909.450292</v>
          </cell>
          <cell r="C202">
            <v>954.725146</v>
          </cell>
          <cell r="D202">
            <v>233821.6705442575</v>
          </cell>
          <cell r="E202">
            <v>4.0831337137303136E-3</v>
          </cell>
        </row>
        <row r="203">
          <cell r="A203">
            <v>2010</v>
          </cell>
          <cell r="B203">
            <v>1915.172262</v>
          </cell>
          <cell r="C203">
            <v>957.58613100000002</v>
          </cell>
          <cell r="D203">
            <v>287018.18463752925</v>
          </cell>
          <cell r="E203">
            <v>3.3363256485275331E-3</v>
          </cell>
        </row>
        <row r="204">
          <cell r="A204">
            <v>2011</v>
          </cell>
          <cell r="B204">
            <v>2470.6055799999999</v>
          </cell>
          <cell r="C204">
            <v>1235.30279</v>
          </cell>
          <cell r="D204">
            <v>335415.15670218616</v>
          </cell>
          <cell r="E204">
            <v>3.682906885143597E-3</v>
          </cell>
        </row>
        <row r="205">
          <cell r="A205">
            <v>2012</v>
          </cell>
          <cell r="B205">
            <v>2247.7525559999999</v>
          </cell>
          <cell r="C205">
            <v>1123.876278</v>
          </cell>
          <cell r="D205">
            <v>369659.70037551981</v>
          </cell>
          <cell r="E205">
            <v>3.0402997049943695E-3</v>
          </cell>
        </row>
        <row r="206">
          <cell r="A206">
            <v>2013</v>
          </cell>
          <cell r="B206">
            <v>2647.175538</v>
          </cell>
          <cell r="C206">
            <v>1323.587769</v>
          </cell>
          <cell r="D206">
            <v>380191.88186037214</v>
          </cell>
          <cell r="E206">
            <v>3.4813677833502397E-3</v>
          </cell>
        </row>
        <row r="207">
          <cell r="A207">
            <v>2014</v>
          </cell>
          <cell r="B207">
            <v>3818.3010549999999</v>
          </cell>
          <cell r="C207">
            <v>1909.1505275</v>
          </cell>
          <cell r="D207">
            <v>378416.02053371473</v>
          </cell>
          <cell r="E207">
            <v>5.0451102065059254E-3</v>
          </cell>
        </row>
        <row r="208">
          <cell r="A208">
            <v>2015</v>
          </cell>
          <cell r="B208">
            <v>3872.0835889999998</v>
          </cell>
          <cell r="C208">
            <v>1936.0417944999999</v>
          </cell>
          <cell r="D208">
            <v>292080.15563330991</v>
          </cell>
          <cell r="E208">
            <v>6.6284605686481165E-3</v>
          </cell>
        </row>
        <row r="212">
          <cell r="B212" t="str">
            <v>Balanza Comercial Absoluta USA
(Precio CIF, US$ millones)</v>
          </cell>
          <cell r="C212" t="str">
            <v>Balanza Comercial Absoluta USA
(Precio CIF, US$ millones)/2</v>
          </cell>
          <cell r="D212" t="str">
            <v>Pib USA
 (US$ Billones)</v>
          </cell>
          <cell r="E212" t="str">
            <v>Porcentaje de 
Intercambio Comercial del PIB USA</v>
          </cell>
        </row>
        <row r="213">
          <cell r="A213">
            <v>1991</v>
          </cell>
          <cell r="B213">
            <v>721.07736799999998</v>
          </cell>
          <cell r="C213">
            <v>360.53868399999999</v>
          </cell>
          <cell r="D213">
            <v>6174.0429999999997</v>
          </cell>
          <cell r="E213">
            <v>5.8395881596548652E-7</v>
          </cell>
        </row>
        <row r="214">
          <cell r="A214">
            <v>1992</v>
          </cell>
          <cell r="B214">
            <v>778.54281600000002</v>
          </cell>
          <cell r="C214">
            <v>389.27140800000001</v>
          </cell>
          <cell r="D214">
            <v>6539.299</v>
          </cell>
          <cell r="E214">
            <v>5.9528002619241E-7</v>
          </cell>
        </row>
        <row r="215">
          <cell r="A215">
            <v>1993</v>
          </cell>
          <cell r="B215">
            <v>726.94601599999999</v>
          </cell>
          <cell r="C215">
            <v>363.47300799999999</v>
          </cell>
          <cell r="D215">
            <v>6878.7179999999998</v>
          </cell>
          <cell r="E215">
            <v>5.2840225169864506E-7</v>
          </cell>
        </row>
        <row r="216">
          <cell r="A216">
            <v>1994</v>
          </cell>
          <cell r="B216">
            <v>990.27204799999993</v>
          </cell>
          <cell r="C216">
            <v>495.13602399999996</v>
          </cell>
          <cell r="D216">
            <v>7308.7550000000001</v>
          </cell>
          <cell r="E216">
            <v>6.7745604278704107E-7</v>
          </cell>
        </row>
        <row r="217">
          <cell r="A217">
            <v>1995</v>
          </cell>
          <cell r="B217">
            <v>1124.3610880000001</v>
          </cell>
          <cell r="C217">
            <v>562.18054400000005</v>
          </cell>
          <cell r="D217">
            <v>7664.06</v>
          </cell>
          <cell r="E217">
            <v>7.3352837008061006E-7</v>
          </cell>
        </row>
        <row r="218">
          <cell r="A218">
            <v>1996</v>
          </cell>
          <cell r="B218">
            <v>1264.539008</v>
          </cell>
          <cell r="C218">
            <v>632.26950399999998</v>
          </cell>
          <cell r="D218">
            <v>8100.201</v>
          </cell>
          <cell r="E218">
            <v>7.8056026510947081E-7</v>
          </cell>
        </row>
        <row r="219">
          <cell r="A219">
            <v>1997</v>
          </cell>
          <cell r="B219">
            <v>1477.9654399999999</v>
          </cell>
          <cell r="C219">
            <v>738.98271999999997</v>
          </cell>
          <cell r="D219">
            <v>8608.5149999999994</v>
          </cell>
          <cell r="E219">
            <v>8.5843228477850133E-7</v>
          </cell>
        </row>
        <row r="220">
          <cell r="A220">
            <v>1998</v>
          </cell>
          <cell r="B220">
            <v>1348.7868799999999</v>
          </cell>
          <cell r="C220">
            <v>674.39343999999994</v>
          </cell>
          <cell r="D220">
            <v>9089.1679999999997</v>
          </cell>
          <cell r="E220">
            <v>7.4197488703036403E-7</v>
          </cell>
        </row>
        <row r="221">
          <cell r="A221">
            <v>1999</v>
          </cell>
          <cell r="B221">
            <v>1193.2297920000001</v>
          </cell>
          <cell r="C221">
            <v>596.61489600000004</v>
          </cell>
          <cell r="D221">
            <v>9660.6239999999998</v>
          </cell>
          <cell r="E221">
            <v>6.1757387100460596E-7</v>
          </cell>
        </row>
        <row r="222">
          <cell r="A222">
            <v>2000</v>
          </cell>
          <cell r="B222">
            <v>1071.982888</v>
          </cell>
          <cell r="C222">
            <v>535.991444</v>
          </cell>
          <cell r="D222">
            <v>10284.779</v>
          </cell>
          <cell r="E222">
            <v>5.2115018125328699E-7</v>
          </cell>
        </row>
        <row r="223">
          <cell r="A223">
            <v>2001</v>
          </cell>
          <cell r="B223">
            <v>940.04740700000002</v>
          </cell>
          <cell r="C223">
            <v>470.02370350000001</v>
          </cell>
          <cell r="D223">
            <v>10621.824000000001</v>
          </cell>
          <cell r="E223">
            <v>4.4250752366071971E-7</v>
          </cell>
        </row>
        <row r="224">
          <cell r="A224">
            <v>2002</v>
          </cell>
          <cell r="B224">
            <v>1018.38838</v>
          </cell>
          <cell r="C224">
            <v>509.19418999999999</v>
          </cell>
          <cell r="D224">
            <v>10977.513999999999</v>
          </cell>
          <cell r="E224">
            <v>4.6385200692980219E-7</v>
          </cell>
        </row>
        <row r="225">
          <cell r="A225">
            <v>2003</v>
          </cell>
          <cell r="B225">
            <v>1038.2639630000001</v>
          </cell>
          <cell r="C225">
            <v>519.13198150000005</v>
          </cell>
          <cell r="D225">
            <v>11510.67</v>
          </cell>
          <cell r="E225">
            <v>4.5100066416637789E-7</v>
          </cell>
        </row>
        <row r="226">
          <cell r="A226">
            <v>2004</v>
          </cell>
          <cell r="B226">
            <v>1217.3023229999999</v>
          </cell>
          <cell r="C226">
            <v>608.65116149999994</v>
          </cell>
          <cell r="D226">
            <v>12274.928</v>
          </cell>
          <cell r="E226">
            <v>4.9584906852406785E-7</v>
          </cell>
        </row>
        <row r="227">
          <cell r="A227">
            <v>2005</v>
          </cell>
          <cell r="B227">
            <v>1536.0551889999999</v>
          </cell>
          <cell r="C227">
            <v>768.02759449999996</v>
          </cell>
          <cell r="D227">
            <v>13093.726000000001</v>
          </cell>
          <cell r="E227">
            <v>5.8656152916289822E-7</v>
          </cell>
        </row>
        <row r="228">
          <cell r="A228">
            <v>2006</v>
          </cell>
          <cell r="B228">
            <v>1674.9357299999999</v>
          </cell>
          <cell r="C228">
            <v>837.46786499999996</v>
          </cell>
          <cell r="D228">
            <v>13855.888000000001</v>
          </cell>
          <cell r="E228">
            <v>6.0441298673892283E-7</v>
          </cell>
        </row>
        <row r="229">
          <cell r="A229">
            <v>2007</v>
          </cell>
          <cell r="B229">
            <v>2090.388798</v>
          </cell>
          <cell r="C229">
            <v>1045.194399</v>
          </cell>
          <cell r="D229">
            <v>14477.635</v>
          </cell>
          <cell r="E229">
            <v>7.2193724941953567E-7</v>
          </cell>
        </row>
        <row r="230">
          <cell r="A230">
            <v>2008</v>
          </cell>
          <cell r="B230">
            <v>2658.591101</v>
          </cell>
          <cell r="C230">
            <v>1329.2955505</v>
          </cell>
          <cell r="D230">
            <v>14718.582</v>
          </cell>
          <cell r="E230">
            <v>9.0314104341029588E-7</v>
          </cell>
        </row>
        <row r="231">
          <cell r="A231">
            <v>2009</v>
          </cell>
          <cell r="B231">
            <v>1909.450292</v>
          </cell>
          <cell r="C231">
            <v>954.725146</v>
          </cell>
          <cell r="D231">
            <v>14418.739</v>
          </cell>
          <cell r="E231">
            <v>6.6214191546153934E-7</v>
          </cell>
        </row>
        <row r="232">
          <cell r="A232">
            <v>2010</v>
          </cell>
          <cell r="B232">
            <v>1915.172262</v>
          </cell>
          <cell r="C232">
            <v>957.58613100000002</v>
          </cell>
          <cell r="D232">
            <v>14964.371999999999</v>
          </cell>
          <cell r="E232">
            <v>6.3991066982296351E-7</v>
          </cell>
        </row>
        <row r="233">
          <cell r="A233">
            <v>2011</v>
          </cell>
          <cell r="B233">
            <v>2470.6055799999999</v>
          </cell>
          <cell r="C233">
            <v>1235.30279</v>
          </cell>
          <cell r="D233">
            <v>15517.925999999999</v>
          </cell>
          <cell r="E233">
            <v>7.9604889854481848E-7</v>
          </cell>
        </row>
        <row r="234">
          <cell r="A234">
            <v>2012</v>
          </cell>
          <cell r="B234">
            <v>2247.7525559999999</v>
          </cell>
          <cell r="C234">
            <v>1123.876278</v>
          </cell>
          <cell r="D234">
            <v>16155.254999999999</v>
          </cell>
          <cell r="E234">
            <v>6.9567226144062721E-7</v>
          </cell>
        </row>
        <row r="235">
          <cell r="A235">
            <v>2013</v>
          </cell>
          <cell r="B235">
            <v>2647.175538</v>
          </cell>
          <cell r="C235">
            <v>1323.587769</v>
          </cell>
          <cell r="D235">
            <v>16663.16</v>
          </cell>
          <cell r="E235">
            <v>7.9431978628303399E-7</v>
          </cell>
        </row>
        <row r="236">
          <cell r="A236">
            <v>2014</v>
          </cell>
          <cell r="B236">
            <v>3818.3010549999999</v>
          </cell>
          <cell r="C236">
            <v>1909.1505275</v>
          </cell>
          <cell r="D236">
            <v>17348.071499999998</v>
          </cell>
          <cell r="E236">
            <v>1.1004972670881603E-6</v>
          </cell>
        </row>
        <row r="237">
          <cell r="A237">
            <v>2015</v>
          </cell>
          <cell r="B237">
            <v>3872.0835889999998</v>
          </cell>
          <cell r="C237">
            <v>1936.0417944999999</v>
          </cell>
          <cell r="D237">
            <v>17946.995999999999</v>
          </cell>
          <cell r="E237">
            <v>1.0787553496418008E-6</v>
          </cell>
        </row>
      </sheetData>
      <sheetData sheetId="5">
        <row r="64">
          <cell r="D64" t="str">
            <v>Intercambio Comercial  
por habitante</v>
          </cell>
        </row>
        <row r="65">
          <cell r="D65">
            <v>20.702428010796261</v>
          </cell>
        </row>
        <row r="66">
          <cell r="D66">
            <v>21.917855101807557</v>
          </cell>
        </row>
        <row r="67">
          <cell r="D67">
            <v>20.077439380134972</v>
          </cell>
        </row>
        <row r="68">
          <cell r="D68">
            <v>26.870206779987086</v>
          </cell>
        </row>
        <row r="69">
          <cell r="D69">
            <v>30.005219017925405</v>
          </cell>
        </row>
        <row r="70">
          <cell r="D70">
            <v>33.21785612869585</v>
          </cell>
        </row>
        <row r="71">
          <cell r="D71">
            <v>38.253889130648652</v>
          </cell>
        </row>
        <row r="72">
          <cell r="D72">
            <v>34.421477741071612</v>
          </cell>
        </row>
        <row r="73">
          <cell r="D73">
            <v>30.032867499917824</v>
          </cell>
        </row>
        <row r="74">
          <cell r="D74">
            <v>26.603000633096997</v>
          </cell>
        </row>
        <row r="75">
          <cell r="D75">
            <v>23.032733351903968</v>
          </cell>
        </row>
        <row r="76">
          <cell r="D76">
            <v>24.641116814744112</v>
          </cell>
        </row>
        <row r="77">
          <cell r="D77">
            <v>24.809791875587639</v>
          </cell>
        </row>
        <row r="78">
          <cell r="D78">
            <v>28.731313099223335</v>
          </cell>
        </row>
        <row r="79">
          <cell r="D79">
            <v>35.815006214239908</v>
          </cell>
        </row>
        <row r="80">
          <cell r="D80">
            <v>38.587693587488317</v>
          </cell>
        </row>
        <row r="81">
          <cell r="D81">
            <v>47.587865703063379</v>
          </cell>
        </row>
        <row r="82">
          <cell r="D82">
            <v>59.809280084493658</v>
          </cell>
        </row>
        <row r="83">
          <cell r="D83">
            <v>42.452198225156224</v>
          </cell>
        </row>
        <row r="84">
          <cell r="D84">
            <v>42.082833848799851</v>
          </cell>
        </row>
        <row r="85">
          <cell r="D85">
            <v>53.656792030839839</v>
          </cell>
        </row>
        <row r="86">
          <cell r="D86">
            <v>48.25385550067459</v>
          </cell>
        </row>
        <row r="87">
          <cell r="D87">
            <v>56.178148556795875</v>
          </cell>
        </row>
        <row r="88">
          <cell r="D88">
            <v>80.112419095826183</v>
          </cell>
        </row>
        <row r="89">
          <cell r="D89">
            <v>80.32800979515865</v>
          </cell>
        </row>
        <row r="155">
          <cell r="D155" t="str">
            <v>Balanza Comercial  
por habitante</v>
          </cell>
        </row>
        <row r="156">
          <cell r="D156">
            <v>2.8431407933128301</v>
          </cell>
        </row>
        <row r="157">
          <cell r="D157">
            <v>3.0350653214614294</v>
          </cell>
        </row>
        <row r="158">
          <cell r="D158">
            <v>2.8053224662429428</v>
          </cell>
        </row>
        <row r="159">
          <cell r="D159">
            <v>3.7501639696888218</v>
          </cell>
        </row>
        <row r="160">
          <cell r="D160">
            <v>4.2206063408884456</v>
          </cell>
        </row>
        <row r="161">
          <cell r="D161">
            <v>4.7021121035213618</v>
          </cell>
        </row>
        <row r="162">
          <cell r="D162">
            <v>5.4459699248674402</v>
          </cell>
        </row>
        <row r="163">
          <cell r="D163">
            <v>4.9663709202309407</v>
          </cell>
        </row>
        <row r="164">
          <cell r="D164">
            <v>4.3544718418824626</v>
          </cell>
        </row>
        <row r="165">
          <cell r="D165">
            <v>3.7617532337864663</v>
          </cell>
        </row>
        <row r="166">
          <cell r="D166">
            <v>3.2683069142695023</v>
          </cell>
        </row>
        <row r="167">
          <cell r="D167">
            <v>3.5103775669588466</v>
          </cell>
        </row>
        <row r="168">
          <cell r="D168">
            <v>3.5459193193970147</v>
          </cell>
        </row>
        <row r="169">
          <cell r="D169">
            <v>4.1192350179964006</v>
          </cell>
        </row>
        <row r="170">
          <cell r="D170">
            <v>5.1479845901958701</v>
          </cell>
        </row>
        <row r="171">
          <cell r="D171">
            <v>5.5602995011071341</v>
          </cell>
        </row>
        <row r="172">
          <cell r="D172">
            <v>6.8741541487870235</v>
          </cell>
        </row>
        <row r="173">
          <cell r="D173">
            <v>8.6663554133147738</v>
          </cell>
        </row>
        <row r="174">
          <cell r="D174">
            <v>6.1845437649693258</v>
          </cell>
        </row>
        <row r="175">
          <cell r="D175">
            <v>6.1910149738389135</v>
          </cell>
        </row>
        <row r="176">
          <cell r="D176">
            <v>7.9256789596174064</v>
          </cell>
        </row>
        <row r="177">
          <cell r="D177">
            <v>7.1558934324072689</v>
          </cell>
        </row>
        <row r="178">
          <cell r="D178">
            <v>8.3639690004406386</v>
          </cell>
        </row>
        <row r="179">
          <cell r="D179">
            <v>11.974961767821126</v>
          </cell>
        </row>
        <row r="180">
          <cell r="D180">
            <v>12.046847751478897</v>
          </cell>
        </row>
      </sheetData>
      <sheetData sheetId="6">
        <row r="5">
          <cell r="C5" t="str">
            <v>Total exportaciones
 a USA (US$ millones)</v>
          </cell>
          <cell r="D5" t="str">
            <v>Total exportaciones
 Mundo (US$ trillones)</v>
          </cell>
          <cell r="E5" t="str">
            <v>Porcentaje de 
Exportaciones del PIB a USA</v>
          </cell>
        </row>
        <row r="6">
          <cell r="B6">
            <v>1991</v>
          </cell>
          <cell r="C6">
            <v>637.10092799999995</v>
          </cell>
          <cell r="D6">
            <v>30.88664</v>
          </cell>
          <cell r="E6">
            <v>2.0627071381024288E-5</v>
          </cell>
        </row>
        <row r="7">
          <cell r="B7">
            <v>1992</v>
          </cell>
          <cell r="C7">
            <v>621.05683199999999</v>
          </cell>
          <cell r="D7">
            <v>36.748779999999996</v>
          </cell>
          <cell r="E7">
            <v>1.6900066668879894E-5</v>
          </cell>
        </row>
        <row r="8">
          <cell r="B8">
            <v>1993</v>
          </cell>
          <cell r="C8">
            <v>555.76319999999998</v>
          </cell>
          <cell r="D8">
            <v>54.163779999999996</v>
          </cell>
          <cell r="E8">
            <v>1.0260790513512905E-5</v>
          </cell>
        </row>
        <row r="9">
          <cell r="B9">
            <v>1994</v>
          </cell>
          <cell r="C9">
            <v>748.16031999999996</v>
          </cell>
          <cell r="D9">
            <v>82.613830000000007</v>
          </cell>
          <cell r="E9">
            <v>9.0561146965344655E-6</v>
          </cell>
        </row>
        <row r="10">
          <cell r="B10">
            <v>1995</v>
          </cell>
          <cell r="C10">
            <v>729.03270399999997</v>
          </cell>
          <cell r="D10">
            <v>97.478279999999998</v>
          </cell>
          <cell r="E10">
            <v>7.4789245768390656E-6</v>
          </cell>
        </row>
        <row r="11">
          <cell r="B11">
            <v>1996</v>
          </cell>
          <cell r="C11">
            <v>703.38444800000002</v>
          </cell>
          <cell r="D11">
            <v>137.40472</v>
          </cell>
          <cell r="E11">
            <v>5.1190704948126965E-6</v>
          </cell>
        </row>
        <row r="12">
          <cell r="B12">
            <v>1997</v>
          </cell>
          <cell r="C12">
            <v>1010.740736</v>
          </cell>
          <cell r="D12">
            <v>168.40043</v>
          </cell>
          <cell r="E12">
            <v>6.002008047129095E-6</v>
          </cell>
        </row>
        <row r="13">
          <cell r="B13">
            <v>1998</v>
          </cell>
          <cell r="C13">
            <v>846.11839999999995</v>
          </cell>
          <cell r="D13">
            <v>184.64424</v>
          </cell>
          <cell r="E13">
            <v>4.5824251002901583E-6</v>
          </cell>
        </row>
        <row r="14">
          <cell r="B14">
            <v>1999</v>
          </cell>
          <cell r="C14">
            <v>797.60582399999998</v>
          </cell>
          <cell r="D14">
            <v>182.49723999999998</v>
          </cell>
          <cell r="E14">
            <v>4.3705089676972656E-6</v>
          </cell>
        </row>
        <row r="15">
          <cell r="B15">
            <v>2000</v>
          </cell>
          <cell r="C15">
            <v>682.31618500000002</v>
          </cell>
          <cell r="D15">
            <v>173.83799999999999</v>
          </cell>
          <cell r="E15">
            <v>3.9250117063012689E-6</v>
          </cell>
        </row>
        <row r="16">
          <cell r="B16">
            <v>2001</v>
          </cell>
          <cell r="C16">
            <v>555.976359</v>
          </cell>
          <cell r="D16">
            <v>169.57254999999998</v>
          </cell>
          <cell r="E16">
            <v>3.278693155230608E-6</v>
          </cell>
        </row>
        <row r="17">
          <cell r="B17">
            <v>2002</v>
          </cell>
          <cell r="C17">
            <v>581.19843800000001</v>
          </cell>
          <cell r="D17">
            <v>193.08387999999999</v>
          </cell>
          <cell r="E17">
            <v>3.010082654232969E-6</v>
          </cell>
        </row>
        <row r="18">
          <cell r="B18">
            <v>2003</v>
          </cell>
          <cell r="C18">
            <v>613.50858200000005</v>
          </cell>
          <cell r="D18">
            <v>203.78914</v>
          </cell>
          <cell r="E18">
            <v>3.0105067522243826E-6</v>
          </cell>
        </row>
        <row r="19">
          <cell r="B19">
            <v>2004</v>
          </cell>
          <cell r="C19">
            <v>662.081366</v>
          </cell>
          <cell r="D19">
            <v>220.41551999999999</v>
          </cell>
          <cell r="E19">
            <v>3.0037874193251003E-6</v>
          </cell>
        </row>
        <row r="20">
          <cell r="B20">
            <v>2005</v>
          </cell>
          <cell r="C20">
            <v>929.23650299999997</v>
          </cell>
          <cell r="D20">
            <v>255.02369000000002</v>
          </cell>
          <cell r="E20">
            <v>3.6437262083377427E-6</v>
          </cell>
        </row>
        <row r="21">
          <cell r="B21">
            <v>2006</v>
          </cell>
          <cell r="C21">
            <v>930.49573999999996</v>
          </cell>
          <cell r="D21">
            <v>289.62955999999997</v>
          </cell>
          <cell r="E21">
            <v>3.2127098490913705E-6</v>
          </cell>
        </row>
        <row r="22">
          <cell r="B22">
            <v>2007</v>
          </cell>
          <cell r="C22">
            <v>931.14477299999999</v>
          </cell>
          <cell r="D22">
            <v>315.86653999999999</v>
          </cell>
          <cell r="E22">
            <v>2.9479056977671645E-6</v>
          </cell>
        </row>
        <row r="23">
          <cell r="B23">
            <v>2008</v>
          </cell>
          <cell r="C23">
            <v>1104.8938720000001</v>
          </cell>
          <cell r="D23">
            <v>356.99453000000005</v>
          </cell>
          <cell r="E23">
            <v>3.0949882397357737E-6</v>
          </cell>
        </row>
        <row r="24">
          <cell r="B24">
            <v>2009</v>
          </cell>
          <cell r="C24">
            <v>1199.6973760000001</v>
          </cell>
          <cell r="D24">
            <v>413.96373999999997</v>
          </cell>
          <cell r="E24">
            <v>2.8980735752363241E-6</v>
          </cell>
        </row>
        <row r="25">
          <cell r="B25">
            <v>2010</v>
          </cell>
          <cell r="C25">
            <v>1333.3208540000001</v>
          </cell>
          <cell r="D25">
            <v>476.72912000000002</v>
          </cell>
          <cell r="E25">
            <v>2.7968101759758245E-6</v>
          </cell>
        </row>
        <row r="26">
          <cell r="B26">
            <v>2011</v>
          </cell>
          <cell r="C26">
            <v>1654.442814</v>
          </cell>
          <cell r="D26">
            <v>449.90528999999998</v>
          </cell>
          <cell r="E26">
            <v>3.677313538589422E-6</v>
          </cell>
        </row>
        <row r="27">
          <cell r="B27">
            <v>2012</v>
          </cell>
          <cell r="C27">
            <v>1410.311727</v>
          </cell>
          <cell r="D27">
            <v>494.70812999999998</v>
          </cell>
          <cell r="E27">
            <v>2.8507955327113787E-6</v>
          </cell>
        </row>
        <row r="28">
          <cell r="B28">
            <v>2013</v>
          </cell>
          <cell r="C28">
            <v>1371.830665</v>
          </cell>
          <cell r="D28">
            <v>585.44633999999996</v>
          </cell>
          <cell r="E28">
            <v>2.3432218655598738E-6</v>
          </cell>
        </row>
        <row r="29">
          <cell r="B29">
            <v>2014</v>
          </cell>
          <cell r="C29">
            <v>1638.5983349999999</v>
          </cell>
          <cell r="D29">
            <v>607.30944999999997</v>
          </cell>
          <cell r="E29">
            <v>2.6981275114358912E-6</v>
          </cell>
        </row>
        <row r="30">
          <cell r="B30">
            <v>2015</v>
          </cell>
          <cell r="C30">
            <v>1593.37798</v>
          </cell>
          <cell r="D30">
            <v>645.33130000000006</v>
          </cell>
          <cell r="E30">
            <v>2.4690852280061418E-6</v>
          </cell>
        </row>
        <row r="36">
          <cell r="C36" t="str">
            <v>Total importaciones
 de USA (US$ millones)</v>
          </cell>
          <cell r="D36" t="str">
            <v>Total exportaciones
 Mundo (US$ trillones)</v>
          </cell>
          <cell r="E36" t="str">
            <v>Porcentaje de 
importaciones del PIB de USA</v>
          </cell>
        </row>
        <row r="37">
          <cell r="B37">
            <v>1991</v>
          </cell>
          <cell r="C37">
            <v>83.976439999999997</v>
          </cell>
          <cell r="D37">
            <v>30.88664</v>
          </cell>
          <cell r="E37">
            <v>2.7188596752511765E-6</v>
          </cell>
        </row>
        <row r="38">
          <cell r="B38">
            <v>1992</v>
          </cell>
          <cell r="C38">
            <v>157.485984</v>
          </cell>
          <cell r="D38">
            <v>36.748779999999996</v>
          </cell>
          <cell r="E38">
            <v>4.285475164073475E-6</v>
          </cell>
        </row>
        <row r="39">
          <cell r="B39">
            <v>1993</v>
          </cell>
          <cell r="C39">
            <v>171.182816</v>
          </cell>
          <cell r="D39">
            <v>54.163779999999996</v>
          </cell>
          <cell r="E39">
            <v>3.1604665700953663E-6</v>
          </cell>
        </row>
        <row r="40">
          <cell r="B40">
            <v>1994</v>
          </cell>
          <cell r="C40">
            <v>242.111728</v>
          </cell>
          <cell r="D40">
            <v>82.613830000000007</v>
          </cell>
          <cell r="E40">
            <v>2.9306440338137089E-6</v>
          </cell>
        </row>
        <row r="41">
          <cell r="B41">
            <v>1995</v>
          </cell>
          <cell r="C41">
            <v>395.32838400000003</v>
          </cell>
          <cell r="D41">
            <v>97.478279999999998</v>
          </cell>
          <cell r="E41">
            <v>4.0555535448512222E-6</v>
          </cell>
        </row>
        <row r="42">
          <cell r="B42">
            <v>1996</v>
          </cell>
          <cell r="C42">
            <v>561.15455999999995</v>
          </cell>
          <cell r="D42">
            <v>137.40472</v>
          </cell>
          <cell r="E42">
            <v>4.0839540301090086E-6</v>
          </cell>
        </row>
        <row r="43">
          <cell r="B43">
            <v>1997</v>
          </cell>
          <cell r="C43">
            <v>467.22470399999997</v>
          </cell>
          <cell r="D43">
            <v>168.40043</v>
          </cell>
          <cell r="E43">
            <v>2.7744864071902904E-6</v>
          </cell>
        </row>
        <row r="44">
          <cell r="B44">
            <v>1998</v>
          </cell>
          <cell r="C44">
            <v>502.66847999999999</v>
          </cell>
          <cell r="D44">
            <v>184.64424</v>
          </cell>
          <cell r="E44">
            <v>2.7223620948045821E-6</v>
          </cell>
        </row>
        <row r="45">
          <cell r="B45">
            <v>1999</v>
          </cell>
          <cell r="C45">
            <v>395.62396799999999</v>
          </cell>
          <cell r="D45">
            <v>182.49723999999998</v>
          </cell>
          <cell r="E45">
            <v>2.1678353491811711E-6</v>
          </cell>
        </row>
        <row r="46">
          <cell r="B46">
            <v>2000</v>
          </cell>
          <cell r="C46">
            <v>389.66670299999998</v>
          </cell>
          <cell r="D46">
            <v>173.83799999999999</v>
          </cell>
          <cell r="E46">
            <v>2.2415507714078626E-6</v>
          </cell>
        </row>
        <row r="47">
          <cell r="B47">
            <v>2001</v>
          </cell>
          <cell r="C47">
            <v>384.07104800000002</v>
          </cell>
          <cell r="D47">
            <v>169.57254999999998</v>
          </cell>
          <cell r="E47">
            <v>2.2649364416587478E-6</v>
          </cell>
        </row>
        <row r="48">
          <cell r="B48">
            <v>2002</v>
          </cell>
          <cell r="C48">
            <v>437.18994199999997</v>
          </cell>
          <cell r="D48">
            <v>193.08387999999999</v>
          </cell>
          <cell r="E48">
            <v>2.2642487917686345E-6</v>
          </cell>
        </row>
        <row r="49">
          <cell r="B49">
            <v>2003</v>
          </cell>
          <cell r="C49">
            <v>424.755381</v>
          </cell>
          <cell r="D49">
            <v>203.78914</v>
          </cell>
          <cell r="E49">
            <v>2.0842885984994094E-6</v>
          </cell>
        </row>
        <row r="50">
          <cell r="B50">
            <v>2004</v>
          </cell>
          <cell r="C50">
            <v>555.220957</v>
          </cell>
          <cell r="D50">
            <v>220.41551999999999</v>
          </cell>
          <cell r="E50">
            <v>2.5189739678948196E-6</v>
          </cell>
        </row>
        <row r="51">
          <cell r="B51">
            <v>2005</v>
          </cell>
          <cell r="C51">
            <v>606.81868599999996</v>
          </cell>
          <cell r="D51">
            <v>255.02369000000002</v>
          </cell>
          <cell r="E51">
            <v>2.3794600650629749E-6</v>
          </cell>
        </row>
        <row r="52">
          <cell r="B52">
            <v>2006</v>
          </cell>
          <cell r="C52">
            <v>744.43998999999997</v>
          </cell>
          <cell r="D52">
            <v>289.62955999999997</v>
          </cell>
          <cell r="E52">
            <v>2.5703177189510629E-6</v>
          </cell>
        </row>
        <row r="53">
          <cell r="B53">
            <v>2007</v>
          </cell>
          <cell r="C53">
            <v>1159.244025</v>
          </cell>
          <cell r="D53">
            <v>315.86653999999999</v>
          </cell>
          <cell r="E53">
            <v>3.6700437627866507E-6</v>
          </cell>
        </row>
        <row r="54">
          <cell r="B54">
            <v>2008</v>
          </cell>
          <cell r="C54">
            <v>1553.6972290000001</v>
          </cell>
          <cell r="D54">
            <v>356.99453000000005</v>
          </cell>
          <cell r="E54">
            <v>4.3521597627840399E-6</v>
          </cell>
        </row>
        <row r="55">
          <cell r="B55">
            <v>2009</v>
          </cell>
          <cell r="C55">
            <v>709.75291600000003</v>
          </cell>
          <cell r="D55">
            <v>413.96373999999997</v>
          </cell>
          <cell r="E55">
            <v>1.71452919040687E-6</v>
          </cell>
        </row>
        <row r="56">
          <cell r="B56">
            <v>2010</v>
          </cell>
          <cell r="C56">
            <v>581.85140799999999</v>
          </cell>
          <cell r="D56">
            <v>476.72912000000002</v>
          </cell>
          <cell r="E56">
            <v>1.2205073774389949E-6</v>
          </cell>
        </row>
        <row r="57">
          <cell r="B57">
            <v>2011</v>
          </cell>
          <cell r="C57">
            <v>816.16276600000003</v>
          </cell>
          <cell r="D57">
            <v>449.90528999999998</v>
          </cell>
          <cell r="E57">
            <v>1.8140768382607817E-6</v>
          </cell>
        </row>
        <row r="58">
          <cell r="B58">
            <v>2012</v>
          </cell>
          <cell r="C58">
            <v>837.44082900000001</v>
          </cell>
          <cell r="D58">
            <v>494.70812999999998</v>
          </cell>
          <cell r="E58">
            <v>1.6927977896785325E-6</v>
          </cell>
        </row>
        <row r="59">
          <cell r="B59">
            <v>2013</v>
          </cell>
          <cell r="C59">
            <v>1275.344873</v>
          </cell>
          <cell r="D59">
            <v>585.44633999999996</v>
          </cell>
          <cell r="E59">
            <v>2.1784146314758758E-6</v>
          </cell>
        </row>
        <row r="60">
          <cell r="B60">
            <v>2014</v>
          </cell>
          <cell r="C60">
            <v>2179.7027200000002</v>
          </cell>
          <cell r="D60">
            <v>607.30944999999997</v>
          </cell>
          <cell r="E60">
            <v>3.5891137870487614E-6</v>
          </cell>
        </row>
        <row r="61">
          <cell r="B61">
            <v>2015</v>
          </cell>
          <cell r="C61">
            <v>2278.7056090000001</v>
          </cell>
          <cell r="D61">
            <v>645.33130000000006</v>
          </cell>
          <cell r="E61">
            <v>3.5310632058293158E-6</v>
          </cell>
        </row>
        <row r="67">
          <cell r="C67" t="str">
            <v>Total Intercambio Comercial de Colombia (US$ millones)</v>
          </cell>
          <cell r="D67" t="str">
            <v>Total exportaciones + importaciones
 Mundo (US$ trillones)</v>
          </cell>
          <cell r="E67" t="str">
            <v>Porcentaje de 
Intercambio Comercial Colombia</v>
          </cell>
        </row>
        <row r="68">
          <cell r="B68">
            <v>1991</v>
          </cell>
          <cell r="C68">
            <v>721.07736799999998</v>
          </cell>
          <cell r="D68">
            <v>61.77328</v>
          </cell>
          <cell r="E68">
            <v>1.1672965528137732E-5</v>
          </cell>
        </row>
        <row r="69">
          <cell r="B69">
            <v>1992</v>
          </cell>
          <cell r="C69">
            <v>778.54281600000002</v>
          </cell>
          <cell r="D69">
            <v>73.497559999999993</v>
          </cell>
          <cell r="E69">
            <v>1.0592770916476685E-5</v>
          </cell>
        </row>
        <row r="70">
          <cell r="B70">
            <v>1993</v>
          </cell>
          <cell r="C70">
            <v>726.94601599999999</v>
          </cell>
          <cell r="D70">
            <v>108.32755999999999</v>
          </cell>
          <cell r="E70">
            <v>6.7106285418041357E-6</v>
          </cell>
        </row>
        <row r="71">
          <cell r="B71">
            <v>1994</v>
          </cell>
          <cell r="C71">
            <v>990.27204799999993</v>
          </cell>
          <cell r="D71">
            <v>165.22766000000001</v>
          </cell>
          <cell r="E71">
            <v>5.993379365174087E-6</v>
          </cell>
        </row>
        <row r="72">
          <cell r="B72">
            <v>1995</v>
          </cell>
          <cell r="C72">
            <v>1124.3610880000001</v>
          </cell>
          <cell r="D72">
            <v>194.95656</v>
          </cell>
          <cell r="E72">
            <v>5.7672390608451452E-6</v>
          </cell>
        </row>
        <row r="73">
          <cell r="B73">
            <v>1996</v>
          </cell>
          <cell r="C73">
            <v>1264.539008</v>
          </cell>
          <cell r="D73">
            <v>274.80944</v>
          </cell>
          <cell r="E73">
            <v>4.6015122624608525E-6</v>
          </cell>
        </row>
        <row r="74">
          <cell r="B74">
            <v>1997</v>
          </cell>
          <cell r="C74">
            <v>1477.9654399999999</v>
          </cell>
          <cell r="D74">
            <v>336.80086</v>
          </cell>
          <cell r="E74">
            <v>4.3882472271596929E-6</v>
          </cell>
        </row>
        <row r="75">
          <cell r="B75">
            <v>1998</v>
          </cell>
          <cell r="C75">
            <v>1348.7868799999999</v>
          </cell>
          <cell r="D75">
            <v>369.28847999999999</v>
          </cell>
          <cell r="E75">
            <v>3.65239359754737E-6</v>
          </cell>
        </row>
        <row r="76">
          <cell r="B76">
            <v>1999</v>
          </cell>
          <cell r="C76">
            <v>1193.2297920000001</v>
          </cell>
          <cell r="D76">
            <v>364.99447999999995</v>
          </cell>
          <cell r="E76">
            <v>3.2691721584392188E-6</v>
          </cell>
        </row>
        <row r="77">
          <cell r="B77">
            <v>2000</v>
          </cell>
          <cell r="C77">
            <v>1071.982888</v>
          </cell>
          <cell r="D77">
            <v>347.67599999999999</v>
          </cell>
          <cell r="E77">
            <v>3.0832812388545657E-6</v>
          </cell>
        </row>
        <row r="78">
          <cell r="B78">
            <v>2001</v>
          </cell>
          <cell r="C78">
            <v>940.04740700000002</v>
          </cell>
          <cell r="D78">
            <v>339.14509999999996</v>
          </cell>
          <cell r="E78">
            <v>2.7718147984446779E-6</v>
          </cell>
        </row>
        <row r="79">
          <cell r="B79">
            <v>2002</v>
          </cell>
          <cell r="C79">
            <v>1018.38838</v>
          </cell>
          <cell r="D79">
            <v>386.16775999999999</v>
          </cell>
          <cell r="E79">
            <v>2.6371657230008015E-6</v>
          </cell>
        </row>
        <row r="80">
          <cell r="B80">
            <v>2003</v>
          </cell>
          <cell r="C80">
            <v>1038.2639630000001</v>
          </cell>
          <cell r="D80">
            <v>407.57828000000001</v>
          </cell>
          <cell r="E80">
            <v>2.5473976753618962E-6</v>
          </cell>
        </row>
        <row r="81">
          <cell r="B81">
            <v>2004</v>
          </cell>
          <cell r="C81">
            <v>1217.3023229999999</v>
          </cell>
          <cell r="D81">
            <v>440.83103999999997</v>
          </cell>
          <cell r="E81">
            <v>2.76138069360996E-6</v>
          </cell>
        </row>
        <row r="82">
          <cell r="B82">
            <v>2005</v>
          </cell>
          <cell r="C82">
            <v>1536.0551889999999</v>
          </cell>
          <cell r="D82">
            <v>510.04738000000003</v>
          </cell>
          <cell r="E82">
            <v>3.0115931367003584E-6</v>
          </cell>
        </row>
        <row r="83">
          <cell r="B83">
            <v>2006</v>
          </cell>
          <cell r="C83">
            <v>1674.9357299999999</v>
          </cell>
          <cell r="D83">
            <v>579.25911999999994</v>
          </cell>
          <cell r="E83">
            <v>2.8915137840212167E-6</v>
          </cell>
        </row>
        <row r="84">
          <cell r="B84">
            <v>2007</v>
          </cell>
          <cell r="C84">
            <v>2090.388798</v>
          </cell>
          <cell r="D84">
            <v>631.73307999999997</v>
          </cell>
          <cell r="E84">
            <v>3.3089747302769074E-6</v>
          </cell>
        </row>
        <row r="85">
          <cell r="B85">
            <v>2008</v>
          </cell>
          <cell r="C85">
            <v>2658.591101</v>
          </cell>
          <cell r="D85">
            <v>713.98906000000011</v>
          </cell>
          <cell r="E85">
            <v>3.7235740012599064E-6</v>
          </cell>
        </row>
        <row r="86">
          <cell r="B86">
            <v>2009</v>
          </cell>
          <cell r="C86">
            <v>1909.450292</v>
          </cell>
          <cell r="D86">
            <v>827.92747999999995</v>
          </cell>
          <cell r="E86">
            <v>2.306301382821597E-6</v>
          </cell>
        </row>
        <row r="87">
          <cell r="B87">
            <v>2010</v>
          </cell>
          <cell r="C87">
            <v>1915.172262</v>
          </cell>
          <cell r="D87">
            <v>953.45824000000005</v>
          </cell>
          <cell r="E87">
            <v>2.00865877670741E-6</v>
          </cell>
        </row>
        <row r="88">
          <cell r="B88">
            <v>2011</v>
          </cell>
          <cell r="C88">
            <v>2470.6055799999999</v>
          </cell>
          <cell r="D88">
            <v>899.81057999999996</v>
          </cell>
          <cell r="E88">
            <v>2.7456951884251018E-6</v>
          </cell>
        </row>
        <row r="89">
          <cell r="B89">
            <v>2012</v>
          </cell>
          <cell r="C89">
            <v>2247.7525559999999</v>
          </cell>
          <cell r="D89">
            <v>989.41625999999997</v>
          </cell>
          <cell r="E89">
            <v>2.2717966611949553E-6</v>
          </cell>
        </row>
        <row r="90">
          <cell r="B90">
            <v>2013</v>
          </cell>
          <cell r="C90">
            <v>2647.175538</v>
          </cell>
          <cell r="D90">
            <v>1170.8926799999999</v>
          </cell>
          <cell r="E90">
            <v>2.2608182485178748E-6</v>
          </cell>
        </row>
        <row r="91">
          <cell r="B91">
            <v>2014</v>
          </cell>
          <cell r="C91">
            <v>3818.3010549999999</v>
          </cell>
          <cell r="D91">
            <v>1214.6188999999999</v>
          </cell>
          <cell r="E91">
            <v>3.1436206492423265E-6</v>
          </cell>
        </row>
        <row r="92">
          <cell r="B92">
            <v>2015</v>
          </cell>
          <cell r="C92">
            <v>3872.0835889999998</v>
          </cell>
          <cell r="D92">
            <v>1290.6626000000001</v>
          </cell>
          <cell r="E92">
            <v>3.0000742169177284E-6</v>
          </cell>
        </row>
      </sheetData>
      <sheetData sheetId="7"/>
    </sheetDataSet>
  </externalBook>
</externalLink>
</file>

<file path=xl/tables/table1.xml><?xml version="1.0" encoding="utf-8"?>
<table xmlns="http://schemas.openxmlformats.org/spreadsheetml/2006/main" id="17" name="Tabla118" displayName="Tabla118" ref="A6:D31" totalsRowShown="0" headerRowDxfId="1349" dataDxfId="1347" headerRowBorderDxfId="1348" tableBorderDxfId="1346" totalsRowBorderDxfId="1345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344"/>
    <tableColumn id="2" name="Total exportaciones_x000a_ a USA (US$ miles)" dataDxfId="1343"/>
    <tableColumn id="3" name="Pib Colombia a pesos corrientes_x000a_ (US$ miles de millones)" dataDxfId="1342"/>
    <tableColumn id="4" name="Porcentaje de _x000a_Exportaciones del PIB a USA" dataDxfId="1341" dataCellStyle="Porcentaje">
      <calculatedColumnFormula>B7/(C7*1000)</calculatedColumnFormula>
    </tableColumn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id="28" name="Tabla191029" displayName="Tabla191029" ref="B36:E61" totalsRowShown="0" headerRowDxfId="1266" dataDxfId="1264" headerRowBorderDxfId="1265" tableBorderDxfId="1263" totalsRowBorderDxfId="1262">
  <tableColumns count="4">
    <tableColumn id="1" name="Año" dataDxfId="1261"/>
    <tableColumn id="2" name="Total importaciones_x000a_ de USA (US$ miles)" dataDxfId="1260"/>
    <tableColumn id="3" name="Total exportaciones_x000a_ Mundo (US$ trillones)" dataDxfId="1259"/>
    <tableColumn id="4" name="Porcentaje de _x000a_importaciones del PIB de USA" dataDxfId="1258" dataCellStyle="Porcentaje">
      <calculatedColumnFormula>(C37/D37)/1000000000</calculatedColumnFormula>
    </tableColumn>
  </tableColumns>
  <tableStyleInfo name="TableStyleMedium14" showFirstColumn="0" showLastColumn="0" showRowStripes="1" showColumnStripes="0"/>
</table>
</file>

<file path=xl/tables/table100.xml><?xml version="1.0" encoding="utf-8"?>
<table xmlns="http://schemas.openxmlformats.org/spreadsheetml/2006/main" id="118" name="Tabla142035119" displayName="Tabla142035119" ref="A65:D90" totalsRowShown="0" headerRowDxfId="402" dataDxfId="400" headerRowBorderDxfId="401" tableBorderDxfId="399" totalsRowBorderDxfId="398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397"/>
    <tableColumn id="2" name="Total exportaciones_x000a_ a Colombia (US$ millones)" dataDxfId="396">
      <calculatedColumnFormula>'Import 07'!B2</calculatedColumnFormula>
    </tableColumn>
    <tableColumn id="3" name="Pib USA_x000a_ (US$ Billones)" dataDxfId="395"/>
    <tableColumn id="4" name="Porcentaje de _x000a_Exportaciones del PIB a Colombia" dataDxfId="394" dataCellStyle="Porcentaje">
      <calculatedColumnFormula>(B66/C66)/10000</calculatedColumnFormula>
    </tableColumn>
  </tableColumns>
  <tableStyleInfo name="TableStyleMedium14" showFirstColumn="0" showLastColumn="0" showRowStripes="1" showColumnStripes="0"/>
</table>
</file>

<file path=xl/tables/table101.xml><?xml version="1.0" encoding="utf-8"?>
<table xmlns="http://schemas.openxmlformats.org/spreadsheetml/2006/main" id="119" name="Tabla1452236120" displayName="Tabla1452236120" ref="A35:D60" totalsRowShown="0" headerRowDxfId="393" dataDxfId="391" headerRowBorderDxfId="392" tableBorderDxfId="390" totalsRowBorderDxfId="389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388"/>
    <tableColumn id="2" name="Total importaciones_x000a_ a Colombia (US$ millones)" dataDxfId="387">
      <calculatedColumnFormula>'Import 07'!B2</calculatedColumnFormula>
    </tableColumn>
    <tableColumn id="3" name="Pib Colombia a pesos corrientes_x000a_ (US$ miles de millones)" dataDxfId="386"/>
    <tableColumn id="4" name="Porcentaje de _x000a_Importaciones del PIB a Colombia" dataDxfId="385" dataCellStyle="Porcentaje">
      <calculatedColumnFormula>(B36/C36)/100</calculatedColumnFormula>
    </tableColumn>
  </tableColumns>
  <tableStyleInfo name="TableStyleMedium14" showFirstColumn="0" showLastColumn="0" showRowStripes="1" showColumnStripes="0"/>
</table>
</file>

<file path=xl/tables/table102.xml><?xml version="1.0" encoding="utf-8"?>
<table xmlns="http://schemas.openxmlformats.org/spreadsheetml/2006/main" id="120" name="Tabla14152337121" displayName="Tabla14152337121" ref="A95:D120" totalsRowShown="0" headerRowDxfId="384" dataDxfId="382" headerRowBorderDxfId="383" tableBorderDxfId="381" totalsRowBorderDxfId="380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379"/>
    <tableColumn id="2" name="Total importaciones a USA_x000a_ de Colombia (US$ millones)" dataDxfId="378">
      <calculatedColumnFormula>B7</calculatedColumnFormula>
    </tableColumn>
    <tableColumn id="3" name="Pib USA_x000a_ (US$ Billones)" dataDxfId="377"/>
    <tableColumn id="4" name="Porcentaje de _x000a_Importaciones del PIB en USA" dataDxfId="376" dataCellStyle="Porcentaje">
      <calculatedColumnFormula>(B96/C96)/10000</calculatedColumnFormula>
    </tableColumn>
  </tableColumns>
  <tableStyleInfo name="TableStyleMedium14" showFirstColumn="0" showLastColumn="0" showRowStripes="1" showColumnStripes="0"/>
</table>
</file>

<file path=xl/tables/table103.xml><?xml version="1.0" encoding="utf-8"?>
<table xmlns="http://schemas.openxmlformats.org/spreadsheetml/2006/main" id="121" name="Tabla1162438122" displayName="Tabla1162438122" ref="A124:D149" totalsRowShown="0" headerRowDxfId="375" dataDxfId="373" headerRowBorderDxfId="374" tableBorderDxfId="372" totalsRowBorderDxfId="371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370"/>
    <tableColumn id="2" name="Balanza Comercial Absoluta Colombia _x000a_( US$ millones)" dataDxfId="369">
      <calculatedColumnFormula>B7+B36</calculatedColumnFormula>
    </tableColumn>
    <tableColumn id="3" name="Pib Colombia a pesos corrientes_x000a_ (US$ miles de millones)" dataDxfId="368"/>
    <tableColumn id="4" name="Porcentaje de _x000a_Intercambio Comercial del PIB Colombia" dataDxfId="367" dataCellStyle="Porcentaje">
      <calculatedColumnFormula>(B125/C125)/100</calculatedColumnFormula>
    </tableColumn>
  </tableColumns>
  <tableStyleInfo name="TableStyleMedium14" showFirstColumn="0" showLastColumn="0" showRowStripes="1" showColumnStripes="0"/>
</table>
</file>

<file path=xl/tables/table104.xml><?xml version="1.0" encoding="utf-8"?>
<table xmlns="http://schemas.openxmlformats.org/spreadsheetml/2006/main" id="122" name="Tabla116172539123" displayName="Tabla116172539123" ref="A153:D178" totalsRowShown="0" headerRowDxfId="366" dataDxfId="364" headerRowBorderDxfId="365" tableBorderDxfId="363" totalsRowBorderDxfId="362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361"/>
    <tableColumn id="2" name="Balanza Comercial Absoluta USA_x000a_(US$ millones)" dataDxfId="360">
      <calculatedColumnFormula>B125</calculatedColumnFormula>
    </tableColumn>
    <tableColumn id="3" name="Pib USA_x000a_ (US$ Billones)" dataDxfId="359"/>
    <tableColumn id="4" name="Porcentaje de _x000a_Intercambio Comercial del PIB USA" dataDxfId="358" dataCellStyle="Porcentaje">
      <calculatedColumnFormula>(B154/C154)/10000</calculatedColumnFormula>
    </tableColumn>
  </tableColumns>
  <tableStyleInfo name="TableStyleMedium14" showFirstColumn="0" showLastColumn="0" showRowStripes="1" showColumnStripes="0"/>
</table>
</file>

<file path=xl/tables/table105.xml><?xml version="1.0" encoding="utf-8"?>
<table xmlns="http://schemas.openxmlformats.org/spreadsheetml/2006/main" id="123" name="Tabla116192640124" displayName="Tabla116192640124" ref="A183:E208" totalsRowShown="0" headerRowDxfId="357" dataDxfId="355" headerRowBorderDxfId="356" tableBorderDxfId="354" totalsRowBorderDxfId="353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352"/>
    <tableColumn id="2" name="Balanza Comercial Absoluta Colombia _x000a_(US$ millones)" dataDxfId="351">
      <calculatedColumnFormula>B154</calculatedColumnFormula>
    </tableColumn>
    <tableColumn id="5" name="Balanza Comercial Absoluta Colombia _x000a_(US$ millones)/2" dataDxfId="350">
      <calculatedColumnFormula>Tabla116192640124[[#This Row],[Balanza Comercial Absoluta Colombia 
(US$ millones)]]/2</calculatedColumnFormula>
    </tableColumn>
    <tableColumn id="3" name="Pib Colombia a pesos corrientes_x000a_ (US$ miles de millones)" dataDxfId="349"/>
    <tableColumn id="4" name="Porcentaje de _x000a_Intercambio Comercial del PIB Colombia" dataDxfId="348" dataCellStyle="Porcentaje">
      <calculatedColumnFormula>C184/(D184*100)</calculatedColumnFormula>
    </tableColumn>
  </tableColumns>
  <tableStyleInfo name="TableStyleMedium14" showFirstColumn="0" showLastColumn="0" showRowStripes="1" showColumnStripes="0"/>
</table>
</file>

<file path=xl/tables/table106.xml><?xml version="1.0" encoding="utf-8"?>
<table xmlns="http://schemas.openxmlformats.org/spreadsheetml/2006/main" id="124" name="Tabla11617212741125" displayName="Tabla11617212741125" ref="A212:E237" totalsRowShown="0" headerRowDxfId="347" dataDxfId="345" headerRowBorderDxfId="346" tableBorderDxfId="344" totalsRowBorderDxfId="343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342"/>
    <tableColumn id="2" name="Balanza Comercial Absoluta USA_x000a_(US$ millones)" dataDxfId="341">
      <calculatedColumnFormula>B125</calculatedColumnFormula>
    </tableColumn>
    <tableColumn id="5" name="Balanza Comercial Absoluta USA_x000a_(US$ millones)/2" dataDxfId="340">
      <calculatedColumnFormula>Tabla11617212741125[[#This Row],[Balanza Comercial Absoluta USA
(US$ millones)]]/2</calculatedColumnFormula>
    </tableColumn>
    <tableColumn id="3" name="Pib USA_x000a_ (US$ Billones)" dataDxfId="339"/>
    <tableColumn id="4" name="Porcentaje de _x000a_Intercambio Comercial del PIB USA" dataDxfId="338" dataCellStyle="Porcentaje">
      <calculatedColumnFormula>(C213/D213)/10000</calculatedColumnFormula>
    </tableColumn>
  </tableColumns>
  <tableStyleInfo name="TableStyleMedium14" showFirstColumn="0" showLastColumn="0" showRowStripes="1" showColumnStripes="0"/>
</table>
</file>

<file path=xl/tables/table107.xml><?xml version="1.0" encoding="utf-8"?>
<table xmlns="http://schemas.openxmlformats.org/spreadsheetml/2006/main" id="125" name="Tabla192842126" displayName="Tabla192842126" ref="B5:E30" totalsRowShown="0" headerRowDxfId="337" dataDxfId="335" headerRowBorderDxfId="336" tableBorderDxfId="334" totalsRowBorderDxfId="333">
  <tableColumns count="4">
    <tableColumn id="1" name="Año" dataDxfId="332"/>
    <tableColumn id="2" name="Total exportaciones_x000a_ a USA (US$ millones)" dataDxfId="331">
      <calculatedColumnFormula>'Export 07'!B2</calculatedColumnFormula>
    </tableColumn>
    <tableColumn id="3" name="Total exportaciones_x000a_ Mundo (US$ trillones)" dataDxfId="330"/>
    <tableColumn id="4" name="Porcentaje de _x000a_Exportaciones del PIB a USA" dataDxfId="329" dataCellStyle="Porcentaje">
      <calculatedColumnFormula>(C6/D6)/100000000000</calculatedColumnFormula>
    </tableColumn>
  </tableColumns>
  <tableStyleInfo name="TableStyleMedium14" showFirstColumn="0" showLastColumn="0" showRowStripes="1" showColumnStripes="0"/>
</table>
</file>

<file path=xl/tables/table108.xml><?xml version="1.0" encoding="utf-8"?>
<table xmlns="http://schemas.openxmlformats.org/spreadsheetml/2006/main" id="126" name="Tabla19102943127" displayName="Tabla19102943127" ref="B36:E61" totalsRowShown="0" headerRowDxfId="328" dataDxfId="326" headerRowBorderDxfId="327" tableBorderDxfId="325" totalsRowBorderDxfId="324">
  <tableColumns count="4">
    <tableColumn id="1" name="Año" dataDxfId="323"/>
    <tableColumn id="2" name="Total importaciones_x000a_ de USA (US$ millones)" dataDxfId="322">
      <calculatedColumnFormula>' Per Cápita 07'!B36</calculatedColumnFormula>
    </tableColumn>
    <tableColumn id="3" name="Total exportaciones_x000a_ Mundo (US$ trillones)" dataDxfId="321"/>
    <tableColumn id="4" name="Porcentaje de _x000a_importaciones del PIB de USA" dataDxfId="320" dataCellStyle="Porcentaje">
      <calculatedColumnFormula>(C37/D37)/1000000000</calculatedColumnFormula>
    </tableColumn>
  </tableColumns>
  <tableStyleInfo name="TableStyleMedium14" showFirstColumn="0" showLastColumn="0" showRowStripes="1" showColumnStripes="0"/>
</table>
</file>

<file path=xl/tables/table109.xml><?xml version="1.0" encoding="utf-8"?>
<table xmlns="http://schemas.openxmlformats.org/spreadsheetml/2006/main" id="127" name="Tabla1910113044128" displayName="Tabla1910113044128" ref="B67:E92" totalsRowShown="0" headerRowDxfId="319" dataDxfId="317" headerRowBorderDxfId="318" tableBorderDxfId="316" totalsRowBorderDxfId="315">
  <tableColumns count="4">
    <tableColumn id="1" name="Año" dataDxfId="314"/>
    <tableColumn id="2" name="Total Intercambio Comercial de Colombia (US$ millones)" dataDxfId="313">
      <calculatedColumnFormula>' Per Cápita 07'!B65</calculatedColumnFormula>
    </tableColumn>
    <tableColumn id="3" name="Total exportaciones + importaciones_x000a_ Mundo (US$ trillones)" dataDxfId="312">
      <calculatedColumnFormula>D37*2</calculatedColumnFormula>
    </tableColumn>
    <tableColumn id="4" name="Porcentaje de _x000a_Intercambio Comercial Colombia" dataDxfId="311" dataCellStyle="Porcentaje">
      <calculatedColumnFormula>(C68/D68)/100000000</calculatedColumnFormula>
    </tableColumn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id="29" name="Tabla19101130" displayName="Tabla19101130" ref="B67:E92" totalsRowShown="0" headerRowDxfId="1257" dataDxfId="1255" headerRowBorderDxfId="1256" tableBorderDxfId="1254" totalsRowBorderDxfId="1253">
  <tableColumns count="4">
    <tableColumn id="1" name="Año" dataDxfId="1252"/>
    <tableColumn id="2" name="Total Intercambio Comercial de Colombia (US$ miles)" dataDxfId="1251">
      <calculatedColumnFormula>C6+C37</calculatedColumnFormula>
    </tableColumn>
    <tableColumn id="3" name="Total exportaciones + importaciones_x000a_ Mundo (US$ trillones)" dataDxfId="1250">
      <calculatedColumnFormula>D37*2</calculatedColumnFormula>
    </tableColumn>
    <tableColumn id="4" name="Porcentaje de _x000a_Intercambio Comercial Colombia" dataDxfId="1249" dataCellStyle="Porcentaje">
      <calculatedColumnFormula>(C68/D68)/1000000</calculatedColumnFormula>
    </tableColumn>
  </tableColumns>
  <tableStyleInfo name="TableStyleMedium14" showFirstColumn="0" showLastColumn="0" showRowStripes="1" showColumnStripes="0"/>
</table>
</file>

<file path=xl/tables/table110.xml><?xml version="1.0" encoding="utf-8"?>
<table xmlns="http://schemas.openxmlformats.org/spreadsheetml/2006/main" id="128" name="Tabla191011133145129" displayName="Tabla191011133145129" ref="A4:F29" totalsRowShown="0" headerRowDxfId="310" dataDxfId="308" headerRowBorderDxfId="309" tableBorderDxfId="307" totalsRowBorderDxfId="306">
  <tableColumns count="6">
    <tableColumn id="1" name="Año" dataDxfId="305"/>
    <tableColumn id="2" name="Total Balanza Comercial de Colombia (US$ millones)" dataDxfId="304">
      <calculatedColumnFormula>'Balanza c 07'!B2</calculatedColumnFormula>
    </tableColumn>
    <tableColumn id="5" name="Total exportaciones de Colombia hacia el mundo_x000a_  (US$ millones FOB)" dataDxfId="303"/>
    <tableColumn id="6" name="Importaciones de Colombia_x000a_Precio (US$ miles)" dataDxfId="302"/>
    <tableColumn id="3" name="Total Importaciones Colombia (US$millones CIF)" dataDxfId="301"/>
    <tableColumn id="4" name="VCR" dataDxfId="300" dataCellStyle="Porcentaje">
      <calculatedColumnFormula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calculatedColumnFormula>
    </tableColumn>
  </tableColumns>
  <tableStyleInfo name="TableStyleMedium14" showFirstColumn="0" showLastColumn="0" showRowStripes="1" showColumnStripes="0"/>
</table>
</file>

<file path=xl/tables/table111.xml><?xml version="1.0" encoding="utf-8"?>
<table xmlns="http://schemas.openxmlformats.org/spreadsheetml/2006/main" id="129" name="Tabla19101113143246130" displayName="Tabla19101113143246130" ref="A33:G58" totalsRowShown="0" headerRowDxfId="299" dataDxfId="297" headerRowBorderDxfId="298" tableBorderDxfId="296" totalsRowBorderDxfId="295">
  <tableColumns count="7">
    <tableColumn id="1" name="Año" dataDxfId="294"/>
    <tableColumn id="2" name="Total exportaciones del grupo_x000a_ a USA (US$ millones)" dataDxfId="293">
      <calculatedColumnFormula>'Participación Mundial 07'!C6</calculatedColumnFormula>
    </tableColumn>
    <tableColumn id="17" name="Total exportaciones_x000a_ a USA (US$ miles)" dataDxfId="292"/>
    <tableColumn id="5" name="Total exportaciones del grupo hacia el mundo (US$ millones)" dataDxfId="291" dataCellStyle="Moneda"/>
    <tableColumn id="3" name="Total exportaciones de Colombia hacia el mundo_x000a_  (US$ Billones)" dataDxfId="290"/>
    <tableColumn id="4" name="Indice de Balassa" dataDxfId="289" dataCellStyle="Porcentaje">
      <calculatedColumnFormula>((Tabla19101113143246130[[#This Row],[Total exportaciones del grupo
 a USA (US$ millones)]]*1000)/(Tabla19101113143246130[[#This Row],[Total exportaciones
 a USA (US$ miles)]])/((D34/1000)/E34))</calculatedColumnFormula>
    </tableColumn>
    <tableColumn id="7" name="Interpretación" dataDxfId="288">
      <calculatedColumnFormula>IF(Tabla19101113143246130[[#This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112.xml><?xml version="1.0" encoding="utf-8"?>
<table xmlns="http://schemas.openxmlformats.org/spreadsheetml/2006/main" id="130" name="Tabla1910111314123347131" displayName="Tabla1910111314123347131" ref="A62:E87" totalsRowShown="0" headerRowDxfId="287" dataDxfId="285" headerRowBorderDxfId="286" tableBorderDxfId="284" totalsRowBorderDxfId="283">
  <tableColumns count="5">
    <tableColumn id="1" name="Año" dataDxfId="282"/>
    <tableColumn id="2" name="Balanza Comercial Colombia _x000a_( US$ millones)" dataDxfId="281">
      <calculatedColumnFormula>'Balanza c 07'!B2</calculatedColumnFormula>
    </tableColumn>
    <tableColumn id="17" name="Balanza Comercial Absoluta Colombia _x000a_(US$ millones)" dataDxfId="280">
      <calculatedColumnFormula>'Apertura 07'!B184</calculatedColumnFormula>
    </tableColumn>
    <tableColumn id="4" name="IGLL" dataDxfId="279" dataCellStyle="Porcentaje">
      <calculatedColumnFormula>1-(Tabla1910111314123347131[[#This Row],[Balanza Comercial Colombia 
( US$ millones)]]/Tabla1910111314123347131[[#This Row],[Balanza Comercial Absoluta Colombia 
(US$ millones)]])</calculatedColumnFormula>
    </tableColumn>
    <tableColumn id="7" name="Interpretación" dataDxfId="278">
      <calculatedColumnFormula>IF(D63&gt;0.1&lt;0.33,"POTENCIAL CMRCIO INT",IF(D63&gt;0.33,"INDICIOS DE CMRCIO INT",IF(D63&lt;0.1,"REL. INTERINDUSTRIALES")))</calculatedColumnFormula>
    </tableColumn>
  </tableColumns>
  <tableStyleInfo name="TableStyleMedium14" showFirstColumn="0" showLastColumn="0" showRowStripes="1" showColumnStripes="0"/>
</table>
</file>

<file path=xl/tables/table113.xml><?xml version="1.0" encoding="utf-8"?>
<table xmlns="http://schemas.openxmlformats.org/spreadsheetml/2006/main" id="131" name="Tabla11834132" displayName="Tabla11834132" ref="A6:D31" totalsRowShown="0" headerRowDxfId="277" dataDxfId="275" headerRowBorderDxfId="276" tableBorderDxfId="274" totalsRowBorderDxfId="273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272"/>
    <tableColumn id="2" name="Total exportaciones_x000a_ a USA (US$ miles)" dataDxfId="271">
      <calculatedColumnFormula>'Export 08'!B2</calculatedColumnFormula>
    </tableColumn>
    <tableColumn id="3" name="Pib Colombia a pesos corrientes_x000a_ (US$ miles de millones)" dataDxfId="270"/>
    <tableColumn id="4" name="Porcentaje de _x000a_Exportaciones del PIB a USA" dataDxfId="269" dataCellStyle="Porcentaje">
      <calculatedColumnFormula>B7/(C7*100)</calculatedColumnFormula>
    </tableColumn>
  </tableColumns>
  <tableStyleInfo name="TableStyleMedium14" showFirstColumn="0" showLastColumn="0" showRowStripes="1" showColumnStripes="0"/>
</table>
</file>

<file path=xl/tables/table114.xml><?xml version="1.0" encoding="utf-8"?>
<table xmlns="http://schemas.openxmlformats.org/spreadsheetml/2006/main" id="132" name="Tabla142035133" displayName="Tabla142035133" ref="A65:D90" totalsRowShown="0" headerRowDxfId="268" dataDxfId="266" headerRowBorderDxfId="267" tableBorderDxfId="265" totalsRowBorderDxfId="264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263"/>
    <tableColumn id="2" name="Total exportaciones_x000a_ a Colombia (US$ millones)" dataDxfId="262">
      <calculatedColumnFormula>'Import 08'!B2</calculatedColumnFormula>
    </tableColumn>
    <tableColumn id="3" name="Pib USA_x000a_ (US$ Billones)" dataDxfId="261"/>
    <tableColumn id="4" name="Porcentaje de _x000a_Exportaciones del PIB a Colombia" dataDxfId="260" dataCellStyle="Porcentaje">
      <calculatedColumnFormula>(B66/C66)/10000</calculatedColumnFormula>
    </tableColumn>
  </tableColumns>
  <tableStyleInfo name="TableStyleMedium14" showFirstColumn="0" showLastColumn="0" showRowStripes="1" showColumnStripes="0"/>
</table>
</file>

<file path=xl/tables/table115.xml><?xml version="1.0" encoding="utf-8"?>
<table xmlns="http://schemas.openxmlformats.org/spreadsheetml/2006/main" id="133" name="Tabla1452236134" displayName="Tabla1452236134" ref="A35:D60" totalsRowShown="0" headerRowDxfId="259" dataDxfId="257" headerRowBorderDxfId="258" tableBorderDxfId="256" totalsRowBorderDxfId="255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254"/>
    <tableColumn id="2" name="Total importaciones_x000a_ a Colombia (US$ millones)" dataDxfId="253">
      <calculatedColumnFormula>'Import 08'!B2</calculatedColumnFormula>
    </tableColumn>
    <tableColumn id="3" name="Pib Colombia a pesos corrientes_x000a_ (US$ miles de millones)" dataDxfId="252"/>
    <tableColumn id="4" name="Porcentaje de _x000a_Importaciones del PIB a Colombia" dataDxfId="251" dataCellStyle="Porcentaje">
      <calculatedColumnFormula>(B36/C36)/100</calculatedColumnFormula>
    </tableColumn>
  </tableColumns>
  <tableStyleInfo name="TableStyleMedium14" showFirstColumn="0" showLastColumn="0" showRowStripes="1" showColumnStripes="0"/>
</table>
</file>

<file path=xl/tables/table116.xml><?xml version="1.0" encoding="utf-8"?>
<table xmlns="http://schemas.openxmlformats.org/spreadsheetml/2006/main" id="134" name="Tabla14152337135" displayName="Tabla14152337135" ref="A95:D120" totalsRowShown="0" headerRowDxfId="250" dataDxfId="248" headerRowBorderDxfId="249" tableBorderDxfId="247" totalsRowBorderDxfId="246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245"/>
    <tableColumn id="2" name="Total importaciones a USA_x000a_ de Colombia (US$ millones)" dataDxfId="244">
      <calculatedColumnFormula>B7</calculatedColumnFormula>
    </tableColumn>
    <tableColumn id="3" name="Pib USA_x000a_ (US$ Billones)" dataDxfId="243"/>
    <tableColumn id="4" name="Porcentaje de _x000a_Importaciones del PIB en USA" dataDxfId="242" dataCellStyle="Porcentaje">
      <calculatedColumnFormula>(B96/C96)/10000</calculatedColumnFormula>
    </tableColumn>
  </tableColumns>
  <tableStyleInfo name="TableStyleMedium14" showFirstColumn="0" showLastColumn="0" showRowStripes="1" showColumnStripes="0"/>
</table>
</file>

<file path=xl/tables/table117.xml><?xml version="1.0" encoding="utf-8"?>
<table xmlns="http://schemas.openxmlformats.org/spreadsheetml/2006/main" id="135" name="Tabla1162438136" displayName="Tabla1162438136" ref="A124:D149" totalsRowShown="0" headerRowDxfId="241" dataDxfId="239" headerRowBorderDxfId="240" tableBorderDxfId="238" totalsRowBorderDxfId="237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236"/>
    <tableColumn id="2" name="Balanza Comercial Absoluta Colombia _x000a_( US$ millones)" dataDxfId="235">
      <calculatedColumnFormula>(B7/1000)+B36</calculatedColumnFormula>
    </tableColumn>
    <tableColumn id="3" name="Pib Colombia a pesos corrientes_x000a_ (US$ miles de millones)" dataDxfId="234"/>
    <tableColumn id="4" name="Porcentaje de _x000a_Intercambio Comercial del PIB Colombia" dataDxfId="233" dataCellStyle="Porcentaje">
      <calculatedColumnFormula>(B125/C125)/100</calculatedColumnFormula>
    </tableColumn>
  </tableColumns>
  <tableStyleInfo name="TableStyleMedium14" showFirstColumn="0" showLastColumn="0" showRowStripes="1" showColumnStripes="0"/>
</table>
</file>

<file path=xl/tables/table118.xml><?xml version="1.0" encoding="utf-8"?>
<table xmlns="http://schemas.openxmlformats.org/spreadsheetml/2006/main" id="136" name="Tabla116172539137" displayName="Tabla116172539137" ref="A153:D178" totalsRowShown="0" headerRowDxfId="232" dataDxfId="230" headerRowBorderDxfId="231" tableBorderDxfId="229" totalsRowBorderDxfId="228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227"/>
    <tableColumn id="2" name="Balanza Comercial Absoluta USA_x000a_(US$ millones)" dataDxfId="226">
      <calculatedColumnFormula>B125</calculatedColumnFormula>
    </tableColumn>
    <tableColumn id="3" name="Pib USA_x000a_ (US$ Billones)" dataDxfId="225"/>
    <tableColumn id="4" name="Porcentaje de _x000a_Intercambio Comercial del PIB USA" dataDxfId="224" dataCellStyle="Porcentaje">
      <calculatedColumnFormula>(B154/C154)/10000</calculatedColumnFormula>
    </tableColumn>
  </tableColumns>
  <tableStyleInfo name="TableStyleMedium14" showFirstColumn="0" showLastColumn="0" showRowStripes="1" showColumnStripes="0"/>
</table>
</file>

<file path=xl/tables/table119.xml><?xml version="1.0" encoding="utf-8"?>
<table xmlns="http://schemas.openxmlformats.org/spreadsheetml/2006/main" id="137" name="Tabla116192640138" displayName="Tabla116192640138" ref="A183:E208" totalsRowShown="0" headerRowDxfId="223" dataDxfId="221" headerRowBorderDxfId="222" tableBorderDxfId="220" totalsRowBorderDxfId="219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218"/>
    <tableColumn id="2" name="Balanza Comercial Absoluta Colombia _x000a_(US$ millones)" dataDxfId="217">
      <calculatedColumnFormula>B154</calculatedColumnFormula>
    </tableColumn>
    <tableColumn id="5" name="Balanza Comercial Absoluta Colombia _x000a_(US$ millones)/2" dataDxfId="216">
      <calculatedColumnFormula>Tabla116192640138[[#This Row],[Balanza Comercial Absoluta Colombia 
(US$ millones)]]/2</calculatedColumnFormula>
    </tableColumn>
    <tableColumn id="3" name="Pib Colombia a pesos corrientes_x000a_ (US$ miles de millones)" dataDxfId="215"/>
    <tableColumn id="4" name="Porcentaje de _x000a_Intercambio Comercial del PIB Colombia" dataDxfId="214" dataCellStyle="Porcentaje">
      <calculatedColumnFormula>C184/(D184*100)</calculatedColumnFormula>
    </tableColumn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id="30" name="Tabla1910111331" displayName="Tabla1910111331" ref="A4:F29" totalsRowShown="0" headerRowDxfId="1248" dataDxfId="1246" headerRowBorderDxfId="1247" tableBorderDxfId="1245" totalsRowBorderDxfId="1244">
  <tableColumns count="6">
    <tableColumn id="1" name="Año" dataDxfId="1243"/>
    <tableColumn id="2" name="Total Balanza Comercial de Colombia (US$ miles)" dataDxfId="1242"/>
    <tableColumn id="5" name="Total exportaciones de Colombia hacia el mundo_x000a_  (US$ millones FOB)" dataDxfId="1241"/>
    <tableColumn id="6" name="Importaciones de Colombia_x000a_Precio (US$ miles)" dataDxfId="1240"/>
    <tableColumn id="3" name="Total Importaciones Colombia (US$millones CIF)" dataDxfId="1239"/>
    <tableColumn id="4" name="VCR" dataDxfId="1238" dataCellStyle="Porcentaje">
      <calculatedColumnFormula>(Tabla1910111331[[#This Row],[Total Balanza Comercial de Colombia (US$ miles)]]/1000)/(Tabla1910111331[[#This Row],[Total exportaciones de Colombia hacia el mundo
  (US$ millones FOB)]]+Tabla1910111331[[#This Row],[Total Importaciones Colombia (US$millones CIF)]]/1000)</calculatedColumnFormula>
    </tableColumn>
  </tableColumns>
  <tableStyleInfo name="TableStyleMedium14" showFirstColumn="0" showLastColumn="0" showRowStripes="1" showColumnStripes="0"/>
</table>
</file>

<file path=xl/tables/table120.xml><?xml version="1.0" encoding="utf-8"?>
<table xmlns="http://schemas.openxmlformats.org/spreadsheetml/2006/main" id="138" name="Tabla11617212741139" displayName="Tabla11617212741139" ref="A212:E237" totalsRowShown="0" headerRowDxfId="213" dataDxfId="211" headerRowBorderDxfId="212" tableBorderDxfId="210" totalsRowBorderDxfId="209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208"/>
    <tableColumn id="2" name="Balanza Comercial Absoluta USA_x000a_(US$ millones)" dataDxfId="207">
      <calculatedColumnFormula>B125</calculatedColumnFormula>
    </tableColumn>
    <tableColumn id="5" name="Balanza Comercial Absoluta USA_x000a_(US$ millones)/2" dataDxfId="206">
      <calculatedColumnFormula>Tabla11617212741139[[#This Row],[Balanza Comercial Absoluta USA
(US$ millones)]]/2</calculatedColumnFormula>
    </tableColumn>
    <tableColumn id="3" name="Pib USA_x000a_ (US$ Billones)" dataDxfId="205"/>
    <tableColumn id="4" name="Porcentaje de _x000a_Intercambio Comercial del PIB USA" dataDxfId="204" dataCellStyle="Porcentaje">
      <calculatedColumnFormula>(C213/D213)/10000</calculatedColumnFormula>
    </tableColumn>
  </tableColumns>
  <tableStyleInfo name="TableStyleMedium14" showFirstColumn="0" showLastColumn="0" showRowStripes="1" showColumnStripes="0"/>
</table>
</file>

<file path=xl/tables/table121.xml><?xml version="1.0" encoding="utf-8"?>
<table xmlns="http://schemas.openxmlformats.org/spreadsheetml/2006/main" id="139" name="Tabla192842140" displayName="Tabla192842140" ref="B5:E30" totalsRowShown="0" headerRowDxfId="203" dataDxfId="201" headerRowBorderDxfId="202" tableBorderDxfId="200" totalsRowBorderDxfId="199">
  <tableColumns count="4">
    <tableColumn id="1" name="Año" dataDxfId="198"/>
    <tableColumn id="2" name="Total exportaciones_x000a_ a USA (US$ miles)" dataDxfId="197">
      <calculatedColumnFormula>'Export 08'!B2</calculatedColumnFormula>
    </tableColumn>
    <tableColumn id="3" name="Total exportaciones_x000a_ Mundo (US$ trillones)" dataDxfId="196"/>
    <tableColumn id="4" name="Porcentaje de _x000a_Exportaciones del PIB a USA" dataDxfId="195" dataCellStyle="Porcentaje">
      <calculatedColumnFormula>(C6/D6)/100000000000</calculatedColumnFormula>
    </tableColumn>
  </tableColumns>
  <tableStyleInfo name="TableStyleMedium14" showFirstColumn="0" showLastColumn="0" showRowStripes="1" showColumnStripes="0"/>
</table>
</file>

<file path=xl/tables/table122.xml><?xml version="1.0" encoding="utf-8"?>
<table xmlns="http://schemas.openxmlformats.org/spreadsheetml/2006/main" id="140" name="Tabla19102943141" displayName="Tabla19102943141" ref="B36:E61" totalsRowShown="0" headerRowDxfId="194" dataDxfId="192" headerRowBorderDxfId="193" tableBorderDxfId="191" totalsRowBorderDxfId="190">
  <tableColumns count="4">
    <tableColumn id="1" name="Año" dataDxfId="189"/>
    <tableColumn id="2" name="Total importaciones_x000a_ de USA (US$ millones)" dataDxfId="188">
      <calculatedColumnFormula>' Per Cápita 08'!B36</calculatedColumnFormula>
    </tableColumn>
    <tableColumn id="3" name="Total exportaciones_x000a_ Mundo (US$ trillones)" dataDxfId="187"/>
    <tableColumn id="4" name="Porcentaje de _x000a_importaciones del PIB de USA" dataDxfId="186" dataCellStyle="Porcentaje">
      <calculatedColumnFormula>(C37/D37)/1000000000</calculatedColumnFormula>
    </tableColumn>
  </tableColumns>
  <tableStyleInfo name="TableStyleMedium14" showFirstColumn="0" showLastColumn="0" showRowStripes="1" showColumnStripes="0"/>
</table>
</file>

<file path=xl/tables/table123.xml><?xml version="1.0" encoding="utf-8"?>
<table xmlns="http://schemas.openxmlformats.org/spreadsheetml/2006/main" id="141" name="Tabla1910113044142" displayName="Tabla1910113044142" ref="B67:E92" totalsRowShown="0" headerRowDxfId="185" dataDxfId="183" headerRowBorderDxfId="184" tableBorderDxfId="182" totalsRowBorderDxfId="181">
  <tableColumns count="4">
    <tableColumn id="1" name="Año" dataDxfId="180"/>
    <tableColumn id="2" name="Total Intercambio Comercial de Colombia (US$ millones)" dataDxfId="179">
      <calculatedColumnFormula>' Per Cápita 08'!B65</calculatedColumnFormula>
    </tableColumn>
    <tableColumn id="3" name="Total exportaciones + importaciones_x000a_ Mundo (US$ trillones)" dataDxfId="178">
      <calculatedColumnFormula>D37*2</calculatedColumnFormula>
    </tableColumn>
    <tableColumn id="4" name="Porcentaje de _x000a_Intercambio Comercial Colombia" dataDxfId="177" dataCellStyle="Porcentaje">
      <calculatedColumnFormula>(C68/D68)/100000000</calculatedColumnFormula>
    </tableColumn>
  </tableColumns>
  <tableStyleInfo name="TableStyleMedium14" showFirstColumn="0" showLastColumn="0" showRowStripes="1" showColumnStripes="0"/>
</table>
</file>

<file path=xl/tables/table124.xml><?xml version="1.0" encoding="utf-8"?>
<table xmlns="http://schemas.openxmlformats.org/spreadsheetml/2006/main" id="142" name="Tabla191011133145143" displayName="Tabla191011133145143" ref="A4:F29" totalsRowShown="0" headerRowDxfId="176" dataDxfId="174" headerRowBorderDxfId="175" tableBorderDxfId="173" totalsRowBorderDxfId="172">
  <tableColumns count="6">
    <tableColumn id="1" name="Año" dataDxfId="171"/>
    <tableColumn id="2" name="Total Balanza Comercial de Colombia (US$ millones)" dataDxfId="170">
      <calculatedColumnFormula>'Balanza c 08'!B2</calculatedColumnFormula>
    </tableColumn>
    <tableColumn id="5" name="Total exportaciones de Colombia hacia el mundo_x000a_  (US$ millones FOB)" dataDxfId="169"/>
    <tableColumn id="6" name="Importaciones de Colombia_x000a_Precio (US$ miles)" dataDxfId="168"/>
    <tableColumn id="3" name="Total Importaciones Colombia (US$millones CIF)" dataDxfId="167"/>
    <tableColumn id="4" name="VCR" dataDxfId="166" dataCellStyle="Porcentaje">
      <calculatedColumnFormula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calculatedColumnFormula>
    </tableColumn>
  </tableColumns>
  <tableStyleInfo name="TableStyleMedium14" showFirstColumn="0" showLastColumn="0" showRowStripes="1" showColumnStripes="0"/>
</table>
</file>

<file path=xl/tables/table125.xml><?xml version="1.0" encoding="utf-8"?>
<table xmlns="http://schemas.openxmlformats.org/spreadsheetml/2006/main" id="143" name="Tabla19101113143246144" displayName="Tabla19101113143246144" ref="A33:G58" totalsRowShown="0" headerRowDxfId="165" dataDxfId="163" headerRowBorderDxfId="164" tableBorderDxfId="162" totalsRowBorderDxfId="161">
  <tableColumns count="7">
    <tableColumn id="1" name="Año" dataDxfId="160"/>
    <tableColumn id="2" name="Total exportaciones del grupo_x000a_ a USA (US$ miles)" dataDxfId="159">
      <calculatedColumnFormula>'Participación Mundial 08'!C6</calculatedColumnFormula>
    </tableColumn>
    <tableColumn id="17" name="Total exportaciones_x000a_ a USA (US$ miles)" dataDxfId="158"/>
    <tableColumn id="5" name="Total exportaciones del grupo hacia el mundo (US$ millones)" dataDxfId="157" dataCellStyle="Moneda"/>
    <tableColumn id="3" name="Total exportaciones de Colombia hacia el mundo_x000a_  (US$ Billones)" dataDxfId="156"/>
    <tableColumn id="4" name="Indice de Balassa" dataDxfId="155" dataCellStyle="Porcentaje">
      <calculatedColumnFormula>((Tabla19101113143246144[[#This Row],[Total exportaciones del grupo
 a USA (US$ miles)]]/10)/(Tabla19101113143246144[[#This Row],[Total exportaciones
 a USA (US$ miles)]])/((D34/10000)/E34))</calculatedColumnFormula>
    </tableColumn>
    <tableColumn id="7" name="Interpretación" dataDxfId="154">
      <calculatedColumnFormula>IF(Tabla19101113143246144[[#This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126.xml><?xml version="1.0" encoding="utf-8"?>
<table xmlns="http://schemas.openxmlformats.org/spreadsheetml/2006/main" id="144" name="Tabla1910111314123347145" displayName="Tabla1910111314123347145" ref="A62:E87" totalsRowShown="0" headerRowDxfId="153" dataDxfId="151" headerRowBorderDxfId="152" tableBorderDxfId="150" totalsRowBorderDxfId="149">
  <tableColumns count="5">
    <tableColumn id="1" name="Año" dataDxfId="148"/>
    <tableColumn id="2" name="Balanza Comercial Colombia _x000a_( US$ millones)" dataDxfId="147">
      <calculatedColumnFormula>'Balanza c 08'!B2</calculatedColumnFormula>
    </tableColumn>
    <tableColumn id="17" name="Balanza Comercial Absoluta Colombia _x000a_(US$ millones)" dataDxfId="146">
      <calculatedColumnFormula>'Apertura 08'!B184</calculatedColumnFormula>
    </tableColumn>
    <tableColumn id="4" name="IGLL" dataDxfId="145" dataCellStyle="Porcentaje">
      <calculatedColumnFormula>1-(Tabla1910111314123347145[[#This Row],[Balanza Comercial Colombia 
( US$ millones)]]/Tabla1910111314123347145[[#This Row],[Balanza Comercial Absoluta Colombia 
(US$ millones)]])</calculatedColumnFormula>
    </tableColumn>
    <tableColumn id="7" name="Interpretación" dataDxfId="144">
      <calculatedColumnFormula>IF(D63&gt;0.1&lt;0.33,"POTENCIAL CMRCIO INT",IF(D63&gt;0.33,"INDICIOS DE CMRCIO INT",IF(D63&lt;0.1,"REL. INTERINDUSTRIALES")))</calculatedColumnFormula>
    </tableColumn>
  </tableColumns>
  <tableStyleInfo name="TableStyleMedium14" showFirstColumn="0" showLastColumn="0" showRowStripes="1" showColumnStripes="0"/>
</table>
</file>

<file path=xl/tables/table127.xml><?xml version="1.0" encoding="utf-8"?>
<table xmlns="http://schemas.openxmlformats.org/spreadsheetml/2006/main" id="145" name="Tabla11834146" displayName="Tabla11834146" ref="A6:D31" totalsRowShown="0" headerRowDxfId="143" dataDxfId="141" headerRowBorderDxfId="142" tableBorderDxfId="140" totalsRowBorderDxfId="139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38"/>
    <tableColumn id="2" name="Total exportaciones_x000a_ a USA (US$ millones)" dataDxfId="137">
      <calculatedColumnFormula>'Export 09'!B2</calculatedColumnFormula>
    </tableColumn>
    <tableColumn id="3" name="Pib Colombia a pesos corrientes_x000a_ (US$ miles de millones)" dataDxfId="136"/>
    <tableColumn id="4" name="Porcentaje de _x000a_Exportaciones del PIB a USA" dataDxfId="135" dataCellStyle="Porcentaje">
      <calculatedColumnFormula>B7/C7</calculatedColumnFormula>
    </tableColumn>
  </tableColumns>
  <tableStyleInfo name="TableStyleMedium14" showFirstColumn="0" showLastColumn="0" showRowStripes="1" showColumnStripes="0"/>
</table>
</file>

<file path=xl/tables/table128.xml><?xml version="1.0" encoding="utf-8"?>
<table xmlns="http://schemas.openxmlformats.org/spreadsheetml/2006/main" id="146" name="Tabla142035147" displayName="Tabla142035147" ref="A65:D90" totalsRowShown="0" headerRowDxfId="134" dataDxfId="132" headerRowBorderDxfId="133" tableBorderDxfId="131" totalsRowBorderDxfId="130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29"/>
    <tableColumn id="2" name="Total exportaciones_x000a_ a Colombia (US$ millones)" dataDxfId="128">
      <calculatedColumnFormula>'Import 09'!B2</calculatedColumnFormula>
    </tableColumn>
    <tableColumn id="3" name="Pib USA_x000a_ (US$ Billones)" dataDxfId="127"/>
    <tableColumn id="4" name="Porcentaje de _x000a_Exportaciones del PIB a Colombia" dataDxfId="126" dataCellStyle="Porcentaje">
      <calculatedColumnFormula>(B66/C66)/10000</calculatedColumnFormula>
    </tableColumn>
  </tableColumns>
  <tableStyleInfo name="TableStyleMedium14" showFirstColumn="0" showLastColumn="0" showRowStripes="1" showColumnStripes="0"/>
</table>
</file>

<file path=xl/tables/table129.xml><?xml version="1.0" encoding="utf-8"?>
<table xmlns="http://schemas.openxmlformats.org/spreadsheetml/2006/main" id="147" name="Tabla1452236148" displayName="Tabla1452236148" ref="A35:D60" totalsRowShown="0" headerRowDxfId="125" dataDxfId="123" headerRowBorderDxfId="124" tableBorderDxfId="122" totalsRowBorderDxfId="121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20"/>
    <tableColumn id="2" name="Total importaciones_x000a_ a Colombia (US$ millones)" dataDxfId="119">
      <calculatedColumnFormula>'Import 09'!B2</calculatedColumnFormula>
    </tableColumn>
    <tableColumn id="3" name="Pib Colombia a pesos corrientes_x000a_ (US$ miles de millones)" dataDxfId="118"/>
    <tableColumn id="4" name="Porcentaje de _x000a_Importaciones del PIB a Colombia" dataDxfId="117" dataCellStyle="Porcentaje">
      <calculatedColumnFormula>(B36/C36)</calculatedColumnFormula>
    </tableColumn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id="31" name="Tabla191011131432" displayName="Tabla191011131432" ref="A33:G58" totalsRowShown="0" headerRowDxfId="1237" dataDxfId="1235" headerRowBorderDxfId="1236" tableBorderDxfId="1234" totalsRowBorderDxfId="1233">
  <tableColumns count="7">
    <tableColumn id="1" name="Año" dataDxfId="1232"/>
    <tableColumn id="2" name="Total exportaciones del grupo_x000a_ a USA (US$ miles)" dataDxfId="1231"/>
    <tableColumn id="17" name="Total exportaciones_x000a_ a USA (US$ miles)" dataDxfId="1230"/>
    <tableColumn id="5" name="Total exportaciones del grupo hacia el mundo (US$ millones)" dataDxfId="1229" dataCellStyle="Moneda"/>
    <tableColumn id="3" name="Total exportaciones de Colombia hacia el mundo_x000a_  (US$ Billones)" dataDxfId="1228"/>
    <tableColumn id="4" name="Indice de Balassa" dataDxfId="1227" dataCellStyle="Porcentaje">
      <calculatedColumnFormula>((Tabla191011131432[[#This Row],[Total exportaciones del grupo
 a USA (US$ miles)]])/(Tabla191011131432[[#This Row],[Total exportaciones
 a USA (US$ miles)]])/((D34/10000)/E34))</calculatedColumnFormula>
    </tableColumn>
    <tableColumn id="7" name="Interpretación" dataDxfId="1226">
      <calculatedColumnFormula>IF(Tabla191011131432[[#This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130.xml><?xml version="1.0" encoding="utf-8"?>
<table xmlns="http://schemas.openxmlformats.org/spreadsheetml/2006/main" id="148" name="Tabla14152337149" displayName="Tabla14152337149" ref="A95:D120" totalsRowShown="0" headerRowDxfId="116" dataDxfId="114" headerRowBorderDxfId="115" tableBorderDxfId="113" totalsRowBorderDxfId="112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11"/>
    <tableColumn id="2" name="Total importaciones a USA_x000a_ de Colombia (US$ millones)" dataDxfId="110">
      <calculatedColumnFormula>B7</calculatedColumnFormula>
    </tableColumn>
    <tableColumn id="3" name="Pib USA_x000a_ (US$ Billones)" dataDxfId="109"/>
    <tableColumn id="4" name="Porcentaje de _x000a_Importaciones del PIB en USA" dataDxfId="108" dataCellStyle="Porcentaje">
      <calculatedColumnFormula>(B96/C96)/10000</calculatedColumnFormula>
    </tableColumn>
  </tableColumns>
  <tableStyleInfo name="TableStyleMedium14" showFirstColumn="0" showLastColumn="0" showRowStripes="1" showColumnStripes="0"/>
</table>
</file>

<file path=xl/tables/table131.xml><?xml version="1.0" encoding="utf-8"?>
<table xmlns="http://schemas.openxmlformats.org/spreadsheetml/2006/main" id="149" name="Tabla1162438150" displayName="Tabla1162438150" ref="A124:D149" totalsRowShown="0" headerRowDxfId="107" dataDxfId="105" headerRowBorderDxfId="106" tableBorderDxfId="104" totalsRowBorderDxfId="103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02"/>
    <tableColumn id="2" name="Balanza Comercial Absoluta Colombia _x000a_( US$ millones)" dataDxfId="101">
      <calculatedColumnFormula>B7+B36</calculatedColumnFormula>
    </tableColumn>
    <tableColumn id="3" name="Pib Colombia a pesos corrientes_x000a_ (US$ miles de millones)" dataDxfId="100"/>
    <tableColumn id="4" name="Porcentaje de _x000a_Intercambio Comercial del PIB Colombia" dataDxfId="99" dataCellStyle="Porcentaje">
      <calculatedColumnFormula>(B125/C125)/100</calculatedColumnFormula>
    </tableColumn>
  </tableColumns>
  <tableStyleInfo name="TableStyleMedium14" showFirstColumn="0" showLastColumn="0" showRowStripes="1" showColumnStripes="0"/>
</table>
</file>

<file path=xl/tables/table132.xml><?xml version="1.0" encoding="utf-8"?>
<table xmlns="http://schemas.openxmlformats.org/spreadsheetml/2006/main" id="150" name="Tabla116172539151" displayName="Tabla116172539151" ref="A153:D178" totalsRowShown="0" headerRowDxfId="98" dataDxfId="96" headerRowBorderDxfId="97" tableBorderDxfId="95" totalsRowBorderDxfId="94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93"/>
    <tableColumn id="2" name="Balanza Comercial Absoluta USA_x000a_(US$ millones)" dataDxfId="92">
      <calculatedColumnFormula>B125</calculatedColumnFormula>
    </tableColumn>
    <tableColumn id="3" name="Pib USA_x000a_ (US$ Billones)" dataDxfId="91"/>
    <tableColumn id="4" name="Porcentaje de _x000a_Intercambio Comercial del PIB USA" dataDxfId="90" dataCellStyle="Porcentaje">
      <calculatedColumnFormula>(B154/C154)/10000</calculatedColumnFormula>
    </tableColumn>
  </tableColumns>
  <tableStyleInfo name="TableStyleMedium14" showFirstColumn="0" showLastColumn="0" showRowStripes="1" showColumnStripes="0"/>
</table>
</file>

<file path=xl/tables/table133.xml><?xml version="1.0" encoding="utf-8"?>
<table xmlns="http://schemas.openxmlformats.org/spreadsheetml/2006/main" id="151" name="Tabla116192640152" displayName="Tabla116192640152" ref="A183:E208" totalsRowShown="0" headerRowDxfId="89" dataDxfId="87" headerRowBorderDxfId="88" tableBorderDxfId="86" totalsRowBorderDxfId="85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84"/>
    <tableColumn id="2" name="Balanza Comercial Absoluta Colombia _x000a_(US$ millones)" dataDxfId="83">
      <calculatedColumnFormula>B154</calculatedColumnFormula>
    </tableColumn>
    <tableColumn id="5" name="Balanza Comercial Absoluta Colombia _x000a_(US$ millones)/2" dataDxfId="82">
      <calculatedColumnFormula>Tabla116192640152[[#This Row],[Balanza Comercial Absoluta Colombia 
(US$ millones)]]/2</calculatedColumnFormula>
    </tableColumn>
    <tableColumn id="3" name="Pib Colombia a pesos corrientes_x000a_ (US$ miles de millones)" dataDxfId="81"/>
    <tableColumn id="4" name="Porcentaje de _x000a_Intercambio Comercial del PIB Colombia" dataDxfId="80" dataCellStyle="Porcentaje">
      <calculatedColumnFormula>C184/(D184*100)</calculatedColumnFormula>
    </tableColumn>
  </tableColumns>
  <tableStyleInfo name="TableStyleMedium14" showFirstColumn="0" showLastColumn="0" showRowStripes="1" showColumnStripes="0"/>
</table>
</file>

<file path=xl/tables/table134.xml><?xml version="1.0" encoding="utf-8"?>
<table xmlns="http://schemas.openxmlformats.org/spreadsheetml/2006/main" id="152" name="Tabla11617212741153" displayName="Tabla11617212741153" ref="A212:E237" totalsRowShown="0" headerRowDxfId="79" dataDxfId="77" headerRowBorderDxfId="78" tableBorderDxfId="76" totalsRowBorderDxfId="75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74"/>
    <tableColumn id="2" name="Balanza Comercial Absoluta USA_x000a_(US$ millones)" dataDxfId="73">
      <calculatedColumnFormula>B125</calculatedColumnFormula>
    </tableColumn>
    <tableColumn id="5" name="Balanza Comercial Absoluta USA_x000a_(US$ millones)/2" dataDxfId="72">
      <calculatedColumnFormula>Tabla11617212741153[[#This Row],[Balanza Comercial Absoluta USA
(US$ millones)]]/2</calculatedColumnFormula>
    </tableColumn>
    <tableColumn id="3" name="Pib USA_x000a_ (US$ Billones)" dataDxfId="71"/>
    <tableColumn id="4" name="Porcentaje de _x000a_Intercambio Comercial del PIB USA" dataDxfId="70" dataCellStyle="Porcentaje">
      <calculatedColumnFormula>(C213/D213)/10000</calculatedColumnFormula>
    </tableColumn>
  </tableColumns>
  <tableStyleInfo name="TableStyleMedium14" showFirstColumn="0" showLastColumn="0" showRowStripes="1" showColumnStripes="0"/>
</table>
</file>

<file path=xl/tables/table135.xml><?xml version="1.0" encoding="utf-8"?>
<table xmlns="http://schemas.openxmlformats.org/spreadsheetml/2006/main" id="153" name="Tabla192842154" displayName="Tabla192842154" ref="B5:E30" totalsRowShown="0" headerRowDxfId="69" dataDxfId="67" headerRowBorderDxfId="68" tableBorderDxfId="66" totalsRowBorderDxfId="65">
  <tableColumns count="4">
    <tableColumn id="1" name="Año" dataDxfId="64"/>
    <tableColumn id="2" name="Total exportaciones_x000a_ a USA (US$ miles)" dataDxfId="63">
      <calculatedColumnFormula>'Export 09'!B2</calculatedColumnFormula>
    </tableColumn>
    <tableColumn id="3" name="Total exportaciones_x000a_ Mundo (US$ trillones)" dataDxfId="62"/>
    <tableColumn id="4" name="Porcentaje de _x000a_Exportaciones del PIB a USA" dataDxfId="61" dataCellStyle="Porcentaje">
      <calculatedColumnFormula>(C6/D6)/100000000</calculatedColumnFormula>
    </tableColumn>
  </tableColumns>
  <tableStyleInfo name="TableStyleMedium14" showFirstColumn="0" showLastColumn="0" showRowStripes="1" showColumnStripes="0"/>
</table>
</file>

<file path=xl/tables/table136.xml><?xml version="1.0" encoding="utf-8"?>
<table xmlns="http://schemas.openxmlformats.org/spreadsheetml/2006/main" id="154" name="Tabla19102943155" displayName="Tabla19102943155" ref="B36:E61" totalsRowShown="0" headerRowDxfId="60" dataDxfId="58" headerRowBorderDxfId="59" tableBorderDxfId="57" totalsRowBorderDxfId="56">
  <tableColumns count="4">
    <tableColumn id="1" name="Año" dataDxfId="55"/>
    <tableColumn id="2" name="Total importaciones_x000a_ de USA (US$ millones)" dataDxfId="54">
      <calculatedColumnFormula>' Per Cápita 09'!B36</calculatedColumnFormula>
    </tableColumn>
    <tableColumn id="3" name="Total exportaciones_x000a_ Mundo (US$ trillones)" dataDxfId="53"/>
    <tableColumn id="4" name="Porcentaje de _x000a_importaciones del PIB de USA" dataDxfId="52" dataCellStyle="Porcentaje">
      <calculatedColumnFormula>(C37/D37)/10000000</calculatedColumnFormula>
    </tableColumn>
  </tableColumns>
  <tableStyleInfo name="TableStyleMedium14" showFirstColumn="0" showLastColumn="0" showRowStripes="1" showColumnStripes="0"/>
</table>
</file>

<file path=xl/tables/table137.xml><?xml version="1.0" encoding="utf-8"?>
<table xmlns="http://schemas.openxmlformats.org/spreadsheetml/2006/main" id="155" name="Tabla1910113044156" displayName="Tabla1910113044156" ref="B67:E92" totalsRowShown="0" headerRowDxfId="51" dataDxfId="49" headerRowBorderDxfId="50" tableBorderDxfId="48" totalsRowBorderDxfId="47">
  <tableColumns count="4">
    <tableColumn id="1" name="Año" dataDxfId="46"/>
    <tableColumn id="2" name="Total Intercambio Comercial de Colombia (US$ millones)" dataDxfId="45">
      <calculatedColumnFormula>' Per Cápita 09'!B65</calculatedColumnFormula>
    </tableColumn>
    <tableColumn id="3" name="Total exportaciones + importaciones_x000a_ Mundo (US$ trillones)" dataDxfId="44">
      <calculatedColumnFormula>D37*2</calculatedColumnFormula>
    </tableColumn>
    <tableColumn id="4" name="Porcentaje de _x000a_Intercambio Comercial Colombia" dataDxfId="43" dataCellStyle="Porcentaje">
      <calculatedColumnFormula>(C68/D68)/100000000</calculatedColumnFormula>
    </tableColumn>
  </tableColumns>
  <tableStyleInfo name="TableStyleMedium14" showFirstColumn="0" showLastColumn="0" showRowStripes="1" showColumnStripes="0"/>
</table>
</file>

<file path=xl/tables/table138.xml><?xml version="1.0" encoding="utf-8"?>
<table xmlns="http://schemas.openxmlformats.org/spreadsheetml/2006/main" id="156" name="Tabla191011133145157" displayName="Tabla191011133145157" ref="A4:F29" totalsRowShown="0" headerRowDxfId="42" dataDxfId="40" headerRowBorderDxfId="41" tableBorderDxfId="39" totalsRowBorderDxfId="38">
  <tableColumns count="6">
    <tableColumn id="1" name="Año" dataDxfId="37"/>
    <tableColumn id="2" name="Total Balanza Comercial de Colombia (US$ millones)" dataDxfId="36">
      <calculatedColumnFormula>'Balanza c 09'!B2</calculatedColumnFormula>
    </tableColumn>
    <tableColumn id="5" name="Total exportaciones de Colombia hacia el mundo_x000a_  (US$ millones FOB)" dataDxfId="35"/>
    <tableColumn id="6" name="Importaciones de Colombia_x000a_Precio (US$ miles)" dataDxfId="34"/>
    <tableColumn id="3" name="Total Importaciones Colombia (US$millones CIF)" dataDxfId="33"/>
    <tableColumn id="4" name="VCR" dataDxfId="32" dataCellStyle="Porcentaje">
      <calculatedColumnFormula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calculatedColumnFormula>
    </tableColumn>
  </tableColumns>
  <tableStyleInfo name="TableStyleMedium14" showFirstColumn="0" showLastColumn="0" showRowStripes="1" showColumnStripes="0"/>
</table>
</file>

<file path=xl/tables/table139.xml><?xml version="1.0" encoding="utf-8"?>
<table xmlns="http://schemas.openxmlformats.org/spreadsheetml/2006/main" id="157" name="Tabla19101113143246158" displayName="Tabla19101113143246158" ref="A33:G58" totalsRowShown="0" headerRowDxfId="31" dataDxfId="29" headerRowBorderDxfId="30" tableBorderDxfId="28" totalsRowBorderDxfId="27">
  <tableColumns count="7">
    <tableColumn id="1" name="Año" dataDxfId="26"/>
    <tableColumn id="2" name="Total exportaciones del grupo_x000a_ a USA (US$ millones)" dataDxfId="25">
      <calculatedColumnFormula>'Participación Mundial 09'!C6</calculatedColumnFormula>
    </tableColumn>
    <tableColumn id="17" name="Total exportaciones_x000a_ a USA (US$ miles)" dataDxfId="24"/>
    <tableColumn id="5" name="Total exportaciones del grupo hacia el mundo (US$ millones)" dataDxfId="23" dataCellStyle="Moneda"/>
    <tableColumn id="3" name="Total exportaciones de Colombia hacia el mundo_x000a_  (US$ Billones)" dataDxfId="22"/>
    <tableColumn id="4" name="Indice de Balassa" dataDxfId="21" dataCellStyle="Porcentaje">
      <calculatedColumnFormula>((Tabla19101113143246158[[#This Row],[Total exportaciones del grupo
 a USA (US$ millones)]]*1000)/(Tabla19101113143246158[[#This Row],[Total exportaciones
 a USA (US$ miles)]])/((D34/10000)/E34))</calculatedColumnFormula>
    </tableColumn>
    <tableColumn id="7" name="Interpretación" dataDxfId="20">
      <calculatedColumnFormula>IF(Tabla19101113143246158[[#This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id="32" name="Tabla19101113141233" displayName="Tabla19101113141233" ref="A62:E87" totalsRowShown="0" headerRowDxfId="1225" dataDxfId="1223" headerRowBorderDxfId="1224" tableBorderDxfId="1222" totalsRowBorderDxfId="1221">
  <tableColumns count="5">
    <tableColumn id="1" name="Año" dataDxfId="1220"/>
    <tableColumn id="2" name="Balanza Comercial Colombia _x000a_( US$ millones)" dataDxfId="1219">
      <calculatedColumnFormula>'Balanza c 00'!B2</calculatedColumnFormula>
    </tableColumn>
    <tableColumn id="17" name="Balanza Comercial Absoluta Colombia _x000a_(US$ millones)" dataDxfId="1218">
      <calculatedColumnFormula>'Apertura 00'!B125</calculatedColumnFormula>
    </tableColumn>
    <tableColumn id="4" name="IGLL" dataDxfId="1217" dataCellStyle="Porcentaje">
      <calculatedColumnFormula>1-(Tabla19101113141233[[#This Row],[Balanza Comercial Colombia 
( US$ millones)]]/Tabla19101113141233[[#This Row],[Balanza Comercial Absoluta Colombia 
(US$ millones)]])</calculatedColumnFormula>
    </tableColumn>
    <tableColumn id="7" name="Interpretación" dataDxfId="1216">
      <calculatedColumnFormula>IF(Tabla19101113141233[[#This Row],[IGLL]]&gt;0.33,"COMERCIO INTRAINDUSTRIAL","INDICIOS DE CMRCIO INT")</calculatedColumnFormula>
    </tableColumn>
  </tableColumns>
  <tableStyleInfo name="TableStyleMedium14" showFirstColumn="0" showLastColumn="0" showRowStripes="1" showColumnStripes="0"/>
</table>
</file>

<file path=xl/tables/table140.xml><?xml version="1.0" encoding="utf-8"?>
<table xmlns="http://schemas.openxmlformats.org/spreadsheetml/2006/main" id="158" name="Tabla1910111314123347159" displayName="Tabla1910111314123347159" ref="A62:E87" totalsRowShown="0" headerRowDxfId="19" dataDxfId="17" headerRowBorderDxfId="18" tableBorderDxfId="16" totalsRowBorderDxfId="15">
  <tableColumns count="5">
    <tableColumn id="1" name="Año" dataDxfId="14"/>
    <tableColumn id="2" name="Balanza Comercial Colombia _x000a_( US$ millones)" dataDxfId="13">
      <calculatedColumnFormula>'Balanza c 09'!B2</calculatedColumnFormula>
    </tableColumn>
    <tableColumn id="17" name="Balanza Comercial Absoluta Colombia _x000a_(US$ millones)" dataDxfId="12">
      <calculatedColumnFormula>'Apertura 09'!B184</calculatedColumnFormula>
    </tableColumn>
    <tableColumn id="4" name="IGLL" dataDxfId="11" dataCellStyle="Porcentaje">
      <calculatedColumnFormula>1-(Tabla1910111314123347159[[#This Row],[Balanza Comercial Colombia 
( US$ millones)]]/Tabla1910111314123347159[[#This Row],[Balanza Comercial Absoluta Colombia 
(US$ millones)]])</calculatedColumnFormula>
    </tableColumn>
    <tableColumn id="7" name="Interpretación" dataDxfId="10">
      <calculatedColumnFormula>IF(D63&gt;0.1&lt;0.33,"POTENCIAL CMRCIO INT",IF(D63&gt;0.33,"INDICIOS DE CMRCIO INT",IF(D63&lt;0.1,"REL. INTERINDUSTRIALES")))</calculatedColumnFormula>
    </tableColumn>
  </tableColumns>
  <tableStyleInfo name="TableStyleMedium14" showFirstColumn="0" showLastColumn="0" showRowStripes="1" showColumnStripes="0"/>
</table>
</file>

<file path=xl/tables/table15.xml><?xml version="1.0" encoding="utf-8"?>
<table xmlns="http://schemas.openxmlformats.org/spreadsheetml/2006/main" id="33" name="Tabla11834" displayName="Tabla11834" ref="A6:D31" totalsRowShown="0" headerRowDxfId="1215" dataDxfId="1213" headerRowBorderDxfId="1214" tableBorderDxfId="1212" totalsRowBorderDxfId="1211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210"/>
    <tableColumn id="2" name="Total exportaciones_x000a_ a USA (US$)" dataDxfId="1209">
      <calculatedColumnFormula>'Export 01'!B2</calculatedColumnFormula>
    </tableColumn>
    <tableColumn id="3" name="Pib Colombia a pesos corrientes_x000a_ (US$ miles de millones)" dataDxfId="1208"/>
    <tableColumn id="4" name="Porcentaje de _x000a_Exportaciones del PIB a USA" dataDxfId="1207" dataCellStyle="Porcentaje">
      <calculatedColumnFormula>B7/(C7*1000000)</calculatedColumnFormula>
    </tableColumn>
  </tableColumns>
  <tableStyleInfo name="TableStyleMedium14" showFirstColumn="0" showLastColumn="0" showRowStripes="1" showColumnStripes="0"/>
</table>
</file>

<file path=xl/tables/table16.xml><?xml version="1.0" encoding="utf-8"?>
<table xmlns="http://schemas.openxmlformats.org/spreadsheetml/2006/main" id="34" name="Tabla142035" displayName="Tabla142035" ref="A65:D90" totalsRowShown="0" headerRowDxfId="1206" dataDxfId="1204" headerRowBorderDxfId="1205" tableBorderDxfId="1203" totalsRowBorderDxfId="1202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201"/>
    <tableColumn id="2" name="Total exportaciones_x000a_ a Colombia (US$ Millones)" dataDxfId="1200">
      <calculatedColumnFormula>'Import 01'!B2</calculatedColumnFormula>
    </tableColumn>
    <tableColumn id="3" name="Pib USA_x000a_ (US$ Billones)" dataDxfId="1199"/>
    <tableColumn id="4" name="Porcentaje de _x000a_Exportaciones del PIB a Colombia" dataDxfId="1198" dataCellStyle="Porcentaje">
      <calculatedColumnFormula>(B66/C66)/1000000</calculatedColumnFormula>
    </tableColumn>
  </tableColumns>
  <tableStyleInfo name="TableStyleMedium14" showFirstColumn="0" showLastColumn="0" showRowStripes="1" showColumnStripes="0"/>
</table>
</file>

<file path=xl/tables/table17.xml><?xml version="1.0" encoding="utf-8"?>
<table xmlns="http://schemas.openxmlformats.org/spreadsheetml/2006/main" id="35" name="Tabla1452236" displayName="Tabla1452236" ref="A35:D60" totalsRowShown="0" headerRowDxfId="1197" dataDxfId="1195" headerRowBorderDxfId="1196" tableBorderDxfId="1194" totalsRowBorderDxfId="1193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192"/>
    <tableColumn id="2" name="Total importaciones_x000a_ a Colombia (US$ millones)" dataDxfId="1191">
      <calculatedColumnFormula>'Import 01'!B2</calculatedColumnFormula>
    </tableColumn>
    <tableColumn id="3" name="Pib Colombia a pesos corrientes_x000a_ (US$ miles de millones)" dataDxfId="1190"/>
    <tableColumn id="4" name="Porcentaje de _x000a_Importaciones del PIB a Colombia" dataDxfId="1189" dataCellStyle="Porcentaje">
      <calculatedColumnFormula>(B36/C36)/1000</calculatedColumnFormula>
    </tableColumn>
  </tableColumns>
  <tableStyleInfo name="TableStyleMedium14" showFirstColumn="0" showLastColumn="0" showRowStripes="1" showColumnStripes="0"/>
</table>
</file>

<file path=xl/tables/table18.xml><?xml version="1.0" encoding="utf-8"?>
<table xmlns="http://schemas.openxmlformats.org/spreadsheetml/2006/main" id="36" name="Tabla14152337" displayName="Tabla14152337" ref="A95:D120" totalsRowShown="0" headerRowDxfId="1188" dataDxfId="1186" headerRowBorderDxfId="1187" tableBorderDxfId="1185" totalsRowBorderDxfId="1184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183"/>
    <tableColumn id="2" name="Total importaciones a USA_x000a_ a Colombia (US$)" dataDxfId="1182">
      <calculatedColumnFormula>B7</calculatedColumnFormula>
    </tableColumn>
    <tableColumn id="3" name="Pib USA_x000a_ (US$ Billones)" dataDxfId="1181"/>
    <tableColumn id="4" name="Porcentaje de _x000a_Importaciones del PIB en USA" dataDxfId="1180" dataCellStyle="Porcentaje">
      <calculatedColumnFormula>(B96/C96)/1000000000</calculatedColumnFormula>
    </tableColumn>
  </tableColumns>
  <tableStyleInfo name="TableStyleMedium14" showFirstColumn="0" showLastColumn="0" showRowStripes="1" showColumnStripes="0"/>
</table>
</file>

<file path=xl/tables/table19.xml><?xml version="1.0" encoding="utf-8"?>
<table xmlns="http://schemas.openxmlformats.org/spreadsheetml/2006/main" id="37" name="Tabla1162438" displayName="Tabla1162438" ref="A124:D149" totalsRowShown="0" headerRowDxfId="1179" dataDxfId="1177" headerRowBorderDxfId="1178" tableBorderDxfId="1176" totalsRowBorderDxfId="1175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174"/>
    <tableColumn id="2" name="Balanza Comercial Absoluta Colombia _x000a_( US$ millones)" dataDxfId="1173">
      <calculatedColumnFormula>(B7/1000000000)+B36</calculatedColumnFormula>
    </tableColumn>
    <tableColumn id="3" name="Pib Colombia a pesos corrientes_x000a_ (US$ miles de millones)" dataDxfId="1172"/>
    <tableColumn id="4" name="Porcentaje de _x000a_Intercambio Comercial del PIB Colombia" dataDxfId="1171" dataCellStyle="Porcentaje">
      <calculatedColumnFormula>(B125/C125)/10000000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19" name="Tabla1420" displayName="Tabla1420" ref="A65:D90" totalsRowShown="0" headerRowDxfId="1340" dataDxfId="1338" headerRowBorderDxfId="1339" tableBorderDxfId="1337" totalsRowBorderDxfId="1336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335"/>
    <tableColumn id="2" name="Total exportaciones_x000a_ a Colombia (US$ miles)" dataDxfId="1334"/>
    <tableColumn id="3" name="Pib USA_x000a_ (US$ Billones)" dataDxfId="1333"/>
    <tableColumn id="4" name="Porcentaje de _x000a_Exportaciones del PIB a Colombia" dataDxfId="1332" dataCellStyle="Porcentaje">
      <calculatedColumnFormula>(B66/C66)/1000000000</calculatedColumnFormula>
    </tableColumn>
  </tableColumns>
  <tableStyleInfo name="TableStyleMedium14" showFirstColumn="0" showLastColumn="0" showRowStripes="1" showColumnStripes="0"/>
</table>
</file>

<file path=xl/tables/table20.xml><?xml version="1.0" encoding="utf-8"?>
<table xmlns="http://schemas.openxmlformats.org/spreadsheetml/2006/main" id="38" name="Tabla116172539" displayName="Tabla116172539" ref="A153:D178" totalsRowShown="0" headerRowDxfId="1170" dataDxfId="1168" headerRowBorderDxfId="1169" tableBorderDxfId="1167" totalsRowBorderDxfId="1166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165"/>
    <tableColumn id="2" name="Balanza Comercial Absoluta USA_x000a_(US$ millones)" dataDxfId="1164">
      <calculatedColumnFormula>B125</calculatedColumnFormula>
    </tableColumn>
    <tableColumn id="3" name="Pib USA_x000a_ (US$ Billones)" dataDxfId="1163"/>
    <tableColumn id="4" name="Porcentaje de _x000a_Intercambio Comercial del PIB USA" dataDxfId="1162" dataCellStyle="Porcentaje">
      <calculatedColumnFormula>(B154/C154)/1000000000</calculatedColumnFormula>
    </tableColumn>
  </tableColumns>
  <tableStyleInfo name="TableStyleMedium14" showFirstColumn="0" showLastColumn="0" showRowStripes="1" showColumnStripes="0"/>
</table>
</file>

<file path=xl/tables/table21.xml><?xml version="1.0" encoding="utf-8"?>
<table xmlns="http://schemas.openxmlformats.org/spreadsheetml/2006/main" id="39" name="Tabla116192640" displayName="Tabla116192640" ref="A183:E208" totalsRowShown="0" headerRowDxfId="1161" dataDxfId="1159" headerRowBorderDxfId="1160" tableBorderDxfId="1158" totalsRowBorderDxfId="1157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1156"/>
    <tableColumn id="2" name="Balanza Comercial Absoluta Colombia _x000a_(US$ millones)" dataDxfId="1155">
      <calculatedColumnFormula>B154</calculatedColumnFormula>
    </tableColumn>
    <tableColumn id="5" name="Balanza Comercial Absoluta Colombia _x000a_(US$ millones)/2" dataDxfId="1154">
      <calculatedColumnFormula>Tabla116192640[[#This Row],[Balanza Comercial Absoluta Colombia 
(US$ millones)]]/2</calculatedColumnFormula>
    </tableColumn>
    <tableColumn id="3" name="Pib Colombia a pesos corrientes_x000a_ (US$ miles de millones)" dataDxfId="1153"/>
    <tableColumn id="4" name="Porcentaje de _x000a_Intercambio Comercial del PIB Colombia" dataDxfId="1152" dataCellStyle="Porcentaje">
      <calculatedColumnFormula>C184/(D184*1000000)</calculatedColumnFormula>
    </tableColumn>
  </tableColumns>
  <tableStyleInfo name="TableStyleMedium14" showFirstColumn="0" showLastColumn="0" showRowStripes="1" showColumnStripes="0"/>
</table>
</file>

<file path=xl/tables/table22.xml><?xml version="1.0" encoding="utf-8"?>
<table xmlns="http://schemas.openxmlformats.org/spreadsheetml/2006/main" id="40" name="Tabla11617212741" displayName="Tabla11617212741" ref="A212:E237" totalsRowShown="0" headerRowDxfId="1151" dataDxfId="1149" headerRowBorderDxfId="1150" tableBorderDxfId="1148" totalsRowBorderDxfId="1147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1146"/>
    <tableColumn id="2" name="Balanza Comercial Absoluta USA_x000a_(US$ millones)" dataDxfId="1145">
      <calculatedColumnFormula>B125</calculatedColumnFormula>
    </tableColumn>
    <tableColumn id="5" name="Balanza Comercial Absoluta USA_x000a_(US$ millones)/2" dataDxfId="1144">
      <calculatedColumnFormula>Tabla11617212741[[#This Row],[Balanza Comercial Absoluta USA
(US$ millones)]]/2</calculatedColumnFormula>
    </tableColumn>
    <tableColumn id="3" name="Pib USA_x000a_ (US$ Billones)" dataDxfId="1143"/>
    <tableColumn id="4" name="Porcentaje de _x000a_Intercambio Comercial del PIB USA" dataDxfId="1142" dataCellStyle="Porcentaje">
      <calculatedColumnFormula>(C213/D213)/1000000</calculatedColumnFormula>
    </tableColumn>
  </tableColumns>
  <tableStyleInfo name="TableStyleMedium14" showFirstColumn="0" showLastColumn="0" showRowStripes="1" showColumnStripes="0"/>
</table>
</file>

<file path=xl/tables/table23.xml><?xml version="1.0" encoding="utf-8"?>
<table xmlns="http://schemas.openxmlformats.org/spreadsheetml/2006/main" id="41" name="Tabla192842" displayName="Tabla192842" ref="B5:E30" totalsRowShown="0" headerRowDxfId="1141" dataDxfId="1139" headerRowBorderDxfId="1140" tableBorderDxfId="1138" totalsRowBorderDxfId="1137">
  <tableColumns count="4">
    <tableColumn id="1" name="Año" dataDxfId="1136"/>
    <tableColumn id="2" name="Total exportaciones_x000a_ a USA (US$)" dataDxfId="1135">
      <calculatedColumnFormula>'Export 01'!B2</calculatedColumnFormula>
    </tableColumn>
    <tableColumn id="3" name="Total exportaciones_x000a_ Mundo (US$ trillones)" dataDxfId="1134"/>
    <tableColumn id="4" name="Porcentaje de _x000a_Exportaciones del PIB a USA" dataDxfId="1133" dataCellStyle="Porcentaje">
      <calculatedColumnFormula>(C6/D6)/1000000000000</calculatedColumnFormula>
    </tableColumn>
  </tableColumns>
  <tableStyleInfo name="TableStyleMedium14" showFirstColumn="0" showLastColumn="0" showRowStripes="1" showColumnStripes="0"/>
</table>
</file>

<file path=xl/tables/table24.xml><?xml version="1.0" encoding="utf-8"?>
<table xmlns="http://schemas.openxmlformats.org/spreadsheetml/2006/main" id="42" name="Tabla19102943" displayName="Tabla19102943" ref="B36:E61" totalsRowShown="0" headerRowDxfId="1132" dataDxfId="1130" headerRowBorderDxfId="1131" tableBorderDxfId="1129" totalsRowBorderDxfId="1128">
  <tableColumns count="4">
    <tableColumn id="1" name="Año" dataDxfId="1127"/>
    <tableColumn id="2" name="Total importaciones_x000a_ de USA (US$ millones)" dataDxfId="1126">
      <calculatedColumnFormula>' Per Cápita 01'!B36</calculatedColumnFormula>
    </tableColumn>
    <tableColumn id="3" name="Total exportaciones_x000a_ Mundo (US$ trillones)" dataDxfId="1125"/>
    <tableColumn id="4" name="Porcentaje de _x000a_importaciones del PIB de USA" dataDxfId="1124" dataCellStyle="Porcentaje">
      <calculatedColumnFormula>(C37/D37)/1000000</calculatedColumnFormula>
    </tableColumn>
  </tableColumns>
  <tableStyleInfo name="TableStyleMedium14" showFirstColumn="0" showLastColumn="0" showRowStripes="1" showColumnStripes="0"/>
</table>
</file>

<file path=xl/tables/table25.xml><?xml version="1.0" encoding="utf-8"?>
<table xmlns="http://schemas.openxmlformats.org/spreadsheetml/2006/main" id="43" name="Tabla1910113044" displayName="Tabla1910113044" ref="B67:E92" totalsRowShown="0" headerRowDxfId="1123" dataDxfId="1121" headerRowBorderDxfId="1122" tableBorderDxfId="1120" totalsRowBorderDxfId="1119">
  <tableColumns count="4">
    <tableColumn id="1" name="Año" dataDxfId="1118"/>
    <tableColumn id="2" name="Total Intercambio Comercial de Colombia (US$ millones)" dataDxfId="1117">
      <calculatedColumnFormula>' Per Cápita 01'!B65</calculatedColumnFormula>
    </tableColumn>
    <tableColumn id="3" name="Total exportaciones + importaciones_x000a_ Mundo (US$ trillones)" dataDxfId="1116">
      <calculatedColumnFormula>D37*2</calculatedColumnFormula>
    </tableColumn>
    <tableColumn id="4" name="Porcentaje de _x000a_Intercambio Comercial Colombia" dataDxfId="1115" dataCellStyle="Porcentaje">
      <calculatedColumnFormula>(C68/D68)/10000000</calculatedColumnFormula>
    </tableColumn>
  </tableColumns>
  <tableStyleInfo name="TableStyleMedium14" showFirstColumn="0" showLastColumn="0" showRowStripes="1" showColumnStripes="0"/>
</table>
</file>

<file path=xl/tables/table26.xml><?xml version="1.0" encoding="utf-8"?>
<table xmlns="http://schemas.openxmlformats.org/spreadsheetml/2006/main" id="44" name="Tabla191011133145" displayName="Tabla191011133145" ref="A4:F29" totalsRowShown="0" headerRowDxfId="1114" dataDxfId="1112" headerRowBorderDxfId="1113" tableBorderDxfId="1111" totalsRowBorderDxfId="1110">
  <tableColumns count="6">
    <tableColumn id="1" name="Año" dataDxfId="1109"/>
    <tableColumn id="2" name="Total Balanza Comercial de Colombia (US$ millones)" dataDxfId="1108">
      <calculatedColumnFormula>'Balanza c 01'!B2</calculatedColumnFormula>
    </tableColumn>
    <tableColumn id="5" name="Total exportaciones de Colombia hacia el mundo_x000a_  (US$ millones FOB)" dataDxfId="1107"/>
    <tableColumn id="6" name="Importaciones de Colombia_x000a_Precio (US$ miles)" dataDxfId="1106"/>
    <tableColumn id="3" name="Total Importaciones Colombia (US$millones CIF)" dataDxfId="1105"/>
    <tableColumn id="4" name="VCR" dataDxfId="1104" dataCellStyle="Porcentaje">
      <calculatedColumnFormula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calculatedColumnFormula>
    </tableColumn>
  </tableColumns>
  <tableStyleInfo name="TableStyleMedium14" showFirstColumn="0" showLastColumn="0" showRowStripes="1" showColumnStripes="0"/>
</table>
</file>

<file path=xl/tables/table27.xml><?xml version="1.0" encoding="utf-8"?>
<table xmlns="http://schemas.openxmlformats.org/spreadsheetml/2006/main" id="45" name="Tabla19101113143246" displayName="Tabla19101113143246" ref="A33:G58" totalsRowShown="0" headerRowDxfId="1103" dataDxfId="1101" headerRowBorderDxfId="1102" tableBorderDxfId="1100" totalsRowBorderDxfId="1099">
  <tableColumns count="7">
    <tableColumn id="1" name="Año" dataDxfId="1098"/>
    <tableColumn id="2" name="Total exportaciones del grupo_x000a_ a USA (US$)" dataDxfId="1097">
      <calculatedColumnFormula>'Participación Mundial 01'!C6</calculatedColumnFormula>
    </tableColumn>
    <tableColumn id="17" name="Total exportaciones_x000a_ a USA (US$ miles)" dataDxfId="1096"/>
    <tableColumn id="5" name="Total exportaciones del grupo hacia el mundo (US$ millones)" dataDxfId="1095" dataCellStyle="Moneda"/>
    <tableColumn id="3" name="Total exportaciones de Colombia hacia el mundo_x000a_  (US$ Billones)" dataDxfId="1094"/>
    <tableColumn id="4" name="Indice de Balassa" dataDxfId="1093" dataCellStyle="Porcentaje">
      <calculatedColumnFormula>((Tabla19101113143246[[#This Row],[Total exportaciones del grupo
 a USA (US$)]]/1000)/(Tabla19101113143246[[#This Row],[Total exportaciones
 a USA (US$ miles)]])/((D34/10000)/E34))</calculatedColumnFormula>
    </tableColumn>
    <tableColumn id="7" name="Interpretación" dataDxfId="1092">
      <calculatedColumnFormula>IF(Tabla19101113143246[[#This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28.xml><?xml version="1.0" encoding="utf-8"?>
<table xmlns="http://schemas.openxmlformats.org/spreadsheetml/2006/main" id="46" name="Tabla1910111314123347" displayName="Tabla1910111314123347" ref="A62:E87" totalsRowShown="0" headerRowDxfId="1091" dataDxfId="1089" headerRowBorderDxfId="1090" tableBorderDxfId="1088" totalsRowBorderDxfId="1087">
  <tableColumns count="5">
    <tableColumn id="1" name="Año" dataDxfId="1086"/>
    <tableColumn id="2" name="Balanza Comercial Colombia _x000a_( US$ millones)" dataDxfId="1085">
      <calculatedColumnFormula>'Balanza c 01'!B2</calculatedColumnFormula>
    </tableColumn>
    <tableColumn id="17" name="Balanza Comercial Absoluta Colombia _x000a_(US$ millones)" dataDxfId="1084">
      <calculatedColumnFormula>'Apertura 01'!B184</calculatedColumnFormula>
    </tableColumn>
    <tableColumn id="4" name="IGLL" dataDxfId="1083" dataCellStyle="Porcentaje">
      <calculatedColumnFormula>1-(Tabla1910111314123347[[#This Row],[Balanza Comercial Colombia 
( US$ millones)]]/Tabla1910111314123347[[#This Row],[Balanza Comercial Absoluta Colombia 
(US$ millones)]])</calculatedColumnFormula>
    </tableColumn>
    <tableColumn id="7" name="Interpretación" dataDxfId="1082">
      <calculatedColumnFormula>IF(D63&gt;0.1&lt;0.33,"POTENCIAL CMRCIO INT",IF(D63&gt;0.33,"INDICIOS DE CMRCIO INT",IF(D63&lt;0.1,"REL. INTERINDUSTRIALES")))</calculatedColumnFormula>
    </tableColumn>
  </tableColumns>
  <tableStyleInfo name="TableStyleMedium14" showFirstColumn="0" showLastColumn="0" showRowStripes="1" showColumnStripes="0"/>
</table>
</file>

<file path=xl/tables/table29.xml><?xml version="1.0" encoding="utf-8"?>
<table xmlns="http://schemas.openxmlformats.org/spreadsheetml/2006/main" id="47" name="Tabla1183448" displayName="Tabla1183448" ref="A6:D31" totalsRowShown="0" headerRowDxfId="1081" dataDxfId="1079" headerRowBorderDxfId="1080" tableBorderDxfId="1078" totalsRowBorderDxfId="1077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076"/>
    <tableColumn id="2" name="Total exportaciones_x000a_ a USA (US$ miles)" dataDxfId="1075">
      <calculatedColumnFormula>'[2]Export 02'!B2</calculatedColumnFormula>
    </tableColumn>
    <tableColumn id="3" name="Pib Colombia a pesos corrientes_x000a_ (US$ miles de millones)" dataDxfId="1074"/>
    <tableColumn id="4" name="Porcentaje de _x000a_Exportaciones del PIB a USA" dataDxfId="1073" dataCellStyle="Porcentaje">
      <calculatedColumnFormula>B7/(C7*100000)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21" name="Tabla14522" displayName="Tabla14522" ref="A35:D60" totalsRowShown="0" headerRowDxfId="1331" dataDxfId="1329" headerRowBorderDxfId="1330" tableBorderDxfId="1328" totalsRowBorderDxfId="1327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326"/>
    <tableColumn id="2" name="Total importaciones_x000a_ a Colombia (US$ miles)" dataDxfId="1325"/>
    <tableColumn id="3" name="Pib Colombia a pesos corrientes_x000a_ (US$ miles de millones)" dataDxfId="1324"/>
    <tableColumn id="4" name="Porcentaje de _x000a_Importaciones del PIB a Colombia" dataDxfId="1323" dataCellStyle="Porcentaje">
      <calculatedColumnFormula>(B36/C36)/1000</calculatedColumnFormula>
    </tableColumn>
  </tableColumns>
  <tableStyleInfo name="TableStyleMedium14" showFirstColumn="0" showLastColumn="0" showRowStripes="1" showColumnStripes="0"/>
</table>
</file>

<file path=xl/tables/table30.xml><?xml version="1.0" encoding="utf-8"?>
<table xmlns="http://schemas.openxmlformats.org/spreadsheetml/2006/main" id="48" name="Tabla14203549" displayName="Tabla14203549" ref="A65:D90" totalsRowShown="0" headerRowDxfId="1072" dataDxfId="1070" headerRowBorderDxfId="1071" tableBorderDxfId="1069" totalsRowBorderDxfId="1068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067"/>
    <tableColumn id="2" name="Total exportaciones_x000a_ a Colombia (US$ Millones)" dataDxfId="1066">
      <calculatedColumnFormula>'[2]Import 02'!B2</calculatedColumnFormula>
    </tableColumn>
    <tableColumn id="3" name="Pib USA_x000a_ (US$ Billones)" dataDxfId="1065"/>
    <tableColumn id="4" name="Porcentaje de _x000a_Exportaciones del PIB a Colombia" dataDxfId="1064" dataCellStyle="Porcentaje">
      <calculatedColumnFormula>(B66/C66)/10000</calculatedColumnFormula>
    </tableColumn>
  </tableColumns>
  <tableStyleInfo name="TableStyleMedium14" showFirstColumn="0" showLastColumn="0" showRowStripes="1" showColumnStripes="0"/>
</table>
</file>

<file path=xl/tables/table31.xml><?xml version="1.0" encoding="utf-8"?>
<table xmlns="http://schemas.openxmlformats.org/spreadsheetml/2006/main" id="49" name="Tabla145223650" displayName="Tabla145223650" ref="A35:D60" totalsRowShown="0" headerRowDxfId="1063" dataDxfId="1061" headerRowBorderDxfId="1062" tableBorderDxfId="1060" totalsRowBorderDxfId="1059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058"/>
    <tableColumn id="2" name="Total importaciones_x000a_ a Colombia (US$ millones)" dataDxfId="1057">
      <calculatedColumnFormula>'[2]Import 02'!B2</calculatedColumnFormula>
    </tableColumn>
    <tableColumn id="3" name="Pib Colombia a pesos corrientes_x000a_ (US$ miles de millones)" dataDxfId="1056"/>
    <tableColumn id="4" name="Porcentaje de _x000a_Importaciones del PIB a Colombia" dataDxfId="1055" dataCellStyle="Porcentaje">
      <calculatedColumnFormula>(B36/C36)/10</calculatedColumnFormula>
    </tableColumn>
  </tableColumns>
  <tableStyleInfo name="TableStyleMedium14" showFirstColumn="0" showLastColumn="0" showRowStripes="1" showColumnStripes="0"/>
</table>
</file>

<file path=xl/tables/table32.xml><?xml version="1.0" encoding="utf-8"?>
<table xmlns="http://schemas.openxmlformats.org/spreadsheetml/2006/main" id="50" name="Tabla1415233751" displayName="Tabla1415233751" ref="A95:D120" totalsRowShown="0" headerRowDxfId="1054" dataDxfId="1052" headerRowBorderDxfId="1053" tableBorderDxfId="1051" totalsRowBorderDxfId="1050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049"/>
    <tableColumn id="2" name="Total importaciones a USA_x000a_ a Colombia (US$)" dataDxfId="1048">
      <calculatedColumnFormula>B7</calculatedColumnFormula>
    </tableColumn>
    <tableColumn id="3" name="Pib USA_x000a_ (US$ Billones)" dataDxfId="1047"/>
    <tableColumn id="4" name="Porcentaje de _x000a_Importaciones del PIB en USA" dataDxfId="1046" dataCellStyle="Porcentaje">
      <calculatedColumnFormula>(B96/C96)/10000000</calculatedColumnFormula>
    </tableColumn>
  </tableColumns>
  <tableStyleInfo name="TableStyleMedium14" showFirstColumn="0" showLastColumn="0" showRowStripes="1" showColumnStripes="0"/>
</table>
</file>

<file path=xl/tables/table33.xml><?xml version="1.0" encoding="utf-8"?>
<table xmlns="http://schemas.openxmlformats.org/spreadsheetml/2006/main" id="51" name="Tabla116243852" displayName="Tabla116243852" ref="A124:D149" totalsRowShown="0" headerRowDxfId="1045" dataDxfId="1043" headerRowBorderDxfId="1044" tableBorderDxfId="1042" totalsRowBorderDxfId="1041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040"/>
    <tableColumn id="2" name="Balanza Comercial Absoluta Colombia _x000a_( US$ millones)" dataDxfId="1039">
      <calculatedColumnFormula>(B7/1000)+B36</calculatedColumnFormula>
    </tableColumn>
    <tableColumn id="3" name="Pib Colombia a pesos corrientes_x000a_ (US$ miles de millones)" dataDxfId="1038"/>
    <tableColumn id="4" name="Porcentaje de _x000a_Intercambio Comercial del PIB Colombia" dataDxfId="1037" dataCellStyle="Porcentaje">
      <calculatedColumnFormula>(B125/C125)/10</calculatedColumnFormula>
    </tableColumn>
  </tableColumns>
  <tableStyleInfo name="TableStyleMedium14" showFirstColumn="0" showLastColumn="0" showRowStripes="1" showColumnStripes="0"/>
</table>
</file>

<file path=xl/tables/table34.xml><?xml version="1.0" encoding="utf-8"?>
<table xmlns="http://schemas.openxmlformats.org/spreadsheetml/2006/main" id="52" name="Tabla11617253953" displayName="Tabla11617253953" ref="A153:D178" totalsRowShown="0" headerRowDxfId="1036" dataDxfId="1034" headerRowBorderDxfId="1035" tableBorderDxfId="1033" totalsRowBorderDxfId="1032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031"/>
    <tableColumn id="2" name="Balanza Comercial Absoluta USA_x000a_(US$ millones)" dataDxfId="1030">
      <calculatedColumnFormula>B125</calculatedColumnFormula>
    </tableColumn>
    <tableColumn id="3" name="Pib USA_x000a_ (US$ Billones)" dataDxfId="1029"/>
    <tableColumn id="4" name="Porcentaje de _x000a_Intercambio Comercial del PIB USA" dataDxfId="1028" dataCellStyle="Porcentaje">
      <calculatedColumnFormula>(B154/C154)/10000</calculatedColumnFormula>
    </tableColumn>
  </tableColumns>
  <tableStyleInfo name="TableStyleMedium14" showFirstColumn="0" showLastColumn="0" showRowStripes="1" showColumnStripes="0"/>
</table>
</file>

<file path=xl/tables/table35.xml><?xml version="1.0" encoding="utf-8"?>
<table xmlns="http://schemas.openxmlformats.org/spreadsheetml/2006/main" id="53" name="Tabla11619264054" displayName="Tabla11619264054" ref="A183:E208" totalsRowShown="0" headerRowDxfId="1027" dataDxfId="1025" headerRowBorderDxfId="1026" tableBorderDxfId="1024" totalsRowBorderDxfId="1023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1022"/>
    <tableColumn id="2" name="Balanza Comercial Absoluta Colombia _x000a_(US$ millones)" dataDxfId="1021">
      <calculatedColumnFormula>B154</calculatedColumnFormula>
    </tableColumn>
    <tableColumn id="5" name="Balanza Comercial Absoluta Colombia _x000a_(US$ millones)/2" dataDxfId="1020">
      <calculatedColumnFormula>Tabla11619264054[[#This Row],[Balanza Comercial Absoluta Colombia 
(US$ millones)]]/2</calculatedColumnFormula>
    </tableColumn>
    <tableColumn id="3" name="Pib Colombia a pesos corrientes_x000a_ (US$ miles de millones)" dataDxfId="1019"/>
    <tableColumn id="4" name="Porcentaje de _x000a_Intercambio Comercial del PIB Colombia" dataDxfId="1018" dataCellStyle="Porcentaje">
      <calculatedColumnFormula>C184/(D184*10)</calculatedColumnFormula>
    </tableColumn>
  </tableColumns>
  <tableStyleInfo name="TableStyleMedium14" showFirstColumn="0" showLastColumn="0" showRowStripes="1" showColumnStripes="0"/>
</table>
</file>

<file path=xl/tables/table36.xml><?xml version="1.0" encoding="utf-8"?>
<table xmlns="http://schemas.openxmlformats.org/spreadsheetml/2006/main" id="54" name="Tabla1161721274155" displayName="Tabla1161721274155" ref="A212:E237" totalsRowShown="0" headerRowDxfId="1017" dataDxfId="1015" headerRowBorderDxfId="1016" tableBorderDxfId="1014" totalsRowBorderDxfId="1013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1012"/>
    <tableColumn id="2" name="Balanza Comercial Absoluta USA_x000a_(US$ millones)" dataDxfId="1011">
      <calculatedColumnFormula>B125</calculatedColumnFormula>
    </tableColumn>
    <tableColumn id="5" name="Balanza Comercial Absoluta USA_x000a_(US$ millones)/2" dataDxfId="1010">
      <calculatedColumnFormula>Tabla1161721274155[[#This Row],[Balanza Comercial Absoluta USA
(US$ millones)]]/2</calculatedColumnFormula>
    </tableColumn>
    <tableColumn id="3" name="Pib USA_x000a_ (US$ Billones)" dataDxfId="1009"/>
    <tableColumn id="4" name="Porcentaje de _x000a_Intercambio Comercial del PIB USA" dataDxfId="1008" dataCellStyle="Porcentaje">
      <calculatedColumnFormula>(C213/D213)/10000</calculatedColumnFormula>
    </tableColumn>
  </tableColumns>
  <tableStyleInfo name="TableStyleMedium14" showFirstColumn="0" showLastColumn="0" showRowStripes="1" showColumnStripes="0"/>
</table>
</file>

<file path=xl/tables/table37.xml><?xml version="1.0" encoding="utf-8"?>
<table xmlns="http://schemas.openxmlformats.org/spreadsheetml/2006/main" id="55" name="Tabla19284256" displayName="Tabla19284256" ref="B5:E30" totalsRowShown="0" headerRowDxfId="1007" dataDxfId="1005" headerRowBorderDxfId="1006" tableBorderDxfId="1004" totalsRowBorderDxfId="1003">
  <tableColumns count="4">
    <tableColumn id="1" name="Año" dataDxfId="1002"/>
    <tableColumn id="2" name="Total exportaciones_x000a_ a USA (US$ miles)" dataDxfId="1001">
      <calculatedColumnFormula>'[2]Export 02'!B2</calculatedColumnFormula>
    </tableColumn>
    <tableColumn id="3" name="Total exportaciones_x000a_ Mundo (US$ trillones)" dataDxfId="1000"/>
    <tableColumn id="4" name="Porcentaje de _x000a_Exportaciones del PIB a USA" dataDxfId="999" dataCellStyle="Porcentaje">
      <calculatedColumnFormula>(C6/D6)/100000000000</calculatedColumnFormula>
    </tableColumn>
  </tableColumns>
  <tableStyleInfo name="TableStyleMedium14" showFirstColumn="0" showLastColumn="0" showRowStripes="1" showColumnStripes="0"/>
</table>
</file>

<file path=xl/tables/table38.xml><?xml version="1.0" encoding="utf-8"?>
<table xmlns="http://schemas.openxmlformats.org/spreadsheetml/2006/main" id="56" name="Tabla1910294357" displayName="Tabla1910294357" ref="B36:E61" totalsRowShown="0" headerRowDxfId="998" dataDxfId="996" headerRowBorderDxfId="997" tableBorderDxfId="995" totalsRowBorderDxfId="994">
  <tableColumns count="4">
    <tableColumn id="1" name="Año" dataDxfId="993"/>
    <tableColumn id="2" name="Total importaciones_x000a_ de USA (US$ millones)" dataDxfId="992">
      <calculatedColumnFormula>'[2] Per Cápita 02'!B36</calculatedColumnFormula>
    </tableColumn>
    <tableColumn id="3" name="Total exportaciones_x000a_ Mundo (US$ trillones)" dataDxfId="991"/>
    <tableColumn id="4" name="Porcentaje de _x000a_importaciones del PIB de USA" dataDxfId="990" dataCellStyle="Porcentaje">
      <calculatedColumnFormula>(C37/D37)/10000000</calculatedColumnFormula>
    </tableColumn>
  </tableColumns>
  <tableStyleInfo name="TableStyleMedium14" showFirstColumn="0" showLastColumn="0" showRowStripes="1" showColumnStripes="0"/>
</table>
</file>

<file path=xl/tables/table39.xml><?xml version="1.0" encoding="utf-8"?>
<table xmlns="http://schemas.openxmlformats.org/spreadsheetml/2006/main" id="57" name="Tabla191011304458" displayName="Tabla191011304458" ref="B67:E92" totalsRowShown="0" headerRowDxfId="989" dataDxfId="987" headerRowBorderDxfId="988" tableBorderDxfId="986" totalsRowBorderDxfId="985">
  <tableColumns count="4">
    <tableColumn id="1" name="Año" dataDxfId="984"/>
    <tableColumn id="2" name="Total Intercambio Comercial de Colombia (US$ millones)" dataDxfId="983">
      <calculatedColumnFormula>'[2] Per Cápita 02'!B65</calculatedColumnFormula>
    </tableColumn>
    <tableColumn id="3" name="Total exportaciones + importaciones_x000a_ Mundo (US$ trillones)" dataDxfId="982">
      <calculatedColumnFormula>D37*2</calculatedColumnFormula>
    </tableColumn>
    <tableColumn id="4" name="Porcentaje de _x000a_Intercambio Comercial Colombia" dataDxfId="981" dataCellStyle="Porcentaje">
      <calculatedColumnFormula>(C68/D68)/10000000</calculatedColumnFormula>
    </tableColumn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22" name="Tabla141523" displayName="Tabla141523" ref="A95:D120" totalsRowShown="0" headerRowDxfId="1322" dataDxfId="1320" headerRowBorderDxfId="1321" tableBorderDxfId="1319" totalsRowBorderDxfId="1318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317"/>
    <tableColumn id="2" name="Total importaciones a USA_x000a_ a Colombia (US$ miles)" dataDxfId="1316"/>
    <tableColumn id="3" name="Pib USA_x000a_ (US$ Billones)" dataDxfId="1315"/>
    <tableColumn id="4" name="Porcentaje de _x000a_Importaciones del PIB en USA" dataDxfId="1314" dataCellStyle="Porcentaje">
      <calculatedColumnFormula>(B96/C96)/1000000000</calculatedColumnFormula>
    </tableColumn>
  </tableColumns>
  <tableStyleInfo name="TableStyleMedium14" showFirstColumn="0" showLastColumn="0" showRowStripes="1" showColumnStripes="0"/>
</table>
</file>

<file path=xl/tables/table40.xml><?xml version="1.0" encoding="utf-8"?>
<table xmlns="http://schemas.openxmlformats.org/spreadsheetml/2006/main" id="58" name="Tabla19101113314559" displayName="Tabla19101113314559" ref="A4:F29" totalsRowShown="0" headerRowDxfId="980" dataDxfId="978" headerRowBorderDxfId="979" tableBorderDxfId="977" totalsRowBorderDxfId="976">
  <tableColumns count="6">
    <tableColumn id="1" name="Año" dataDxfId="975"/>
    <tableColumn id="2" name="Total Balanza Comercial de Colombia (US$ millones)" dataDxfId="974">
      <calculatedColumnFormula>'[2]Balanza c 02'!B2</calculatedColumnFormula>
    </tableColumn>
    <tableColumn id="5" name="Total exportaciones de Colombia hacia el mundo_x000a_  (US$ millones FOB)" dataDxfId="973"/>
    <tableColumn id="6" name="Importaciones de Colombia_x000a_Precio (US$ miles)" dataDxfId="972"/>
    <tableColumn id="3" name="Total Importaciones Colombia (US$millones CIF)" dataDxfId="971"/>
    <tableColumn id="4" name="VCR" dataDxfId="970" dataCellStyle="Porcentaje">
      <calculatedColumnFormula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calculatedColumnFormula>
    </tableColumn>
  </tableColumns>
  <tableStyleInfo name="TableStyleMedium14" showFirstColumn="0" showLastColumn="0" showRowStripes="1" showColumnStripes="0"/>
</table>
</file>

<file path=xl/tables/table41.xml><?xml version="1.0" encoding="utf-8"?>
<table xmlns="http://schemas.openxmlformats.org/spreadsheetml/2006/main" id="59" name="Tabla1910111314324660" displayName="Tabla1910111314324660" ref="A33:G58" totalsRowShown="0" headerRowDxfId="969" dataDxfId="967" headerRowBorderDxfId="968" tableBorderDxfId="966" totalsRowBorderDxfId="965">
  <tableColumns count="7">
    <tableColumn id="1" name="Año" dataDxfId="964"/>
    <tableColumn id="2" name="Total exportaciones del grupo_x000a_ a USA (US$ miles)" dataDxfId="963">
      <calculatedColumnFormula>'[2]Participación Mundial 02'!C6</calculatedColumnFormula>
    </tableColumn>
    <tableColumn id="17" name="Total exportaciones_x000a_ a USA (US$ miles)" dataDxfId="962"/>
    <tableColumn id="5" name="Total exportaciones del grupo hacia el mundo (US$ millones)" dataDxfId="961" dataCellStyle="Moneda"/>
    <tableColumn id="3" name="Total exportaciones de Colombia hacia el mundo_x000a_  (US$ Billones)" dataDxfId="960"/>
    <tableColumn id="4" name="Indice de Balassa" dataDxfId="959" dataCellStyle="Porcentaje">
      <calculatedColumnFormula>((Tabla1910111314324660[[#This Row],[Total exportaciones del grupo
 a USA (US$ miles)]])/(Tabla1910111314324660[[#This Row],[Total exportaciones
 a USA (US$ miles)]])/((D34/1000)/E34))</calculatedColumnFormula>
    </tableColumn>
    <tableColumn id="7" name="Interpretación" dataDxfId="958">
      <calculatedColumnFormula>IF(Tabla1910111314324660[[#This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42.xml><?xml version="1.0" encoding="utf-8"?>
<table xmlns="http://schemas.openxmlformats.org/spreadsheetml/2006/main" id="60" name="Tabla191011131412334761" displayName="Tabla191011131412334761" ref="A62:E87" totalsRowShown="0" headerRowDxfId="957" dataDxfId="955" headerRowBorderDxfId="956" tableBorderDxfId="954" totalsRowBorderDxfId="953">
  <tableColumns count="5">
    <tableColumn id="1" name="Año" dataDxfId="952"/>
    <tableColumn id="2" name="Balanza Comercial Colombia _x000a_( US$ millones)" dataDxfId="951">
      <calculatedColumnFormula>'Balanza c 02'!B2</calculatedColumnFormula>
    </tableColumn>
    <tableColumn id="17" name="Balanza Comercial Absoluta Colombia _x000a_(US$ millones)" dataDxfId="950">
      <calculatedColumnFormula>'Apertura 02'!B184</calculatedColumnFormula>
    </tableColumn>
    <tableColumn id="4" name="IGLL" dataDxfId="949" dataCellStyle="Porcentaje">
      <calculatedColumnFormula>1-(Tabla191011131412334761[[#This Row],[Balanza Comercial Colombia 
( US$ millones)]]/Tabla191011131412334761[[#This Row],[Balanza Comercial Absoluta Colombia 
(US$ millones)]])</calculatedColumnFormula>
    </tableColumn>
    <tableColumn id="7" name="Interpretación" dataDxfId="948">
      <calculatedColumnFormula>IF(D63&gt;0.1&lt;0.33,"POTENCIAL CMRCIO INT",IF(D63&gt;0.33,"INDICIOS DE CMRCIO INT",IF(D63&lt;0.1,"REL. INTERINDUSTRIALES")))</calculatedColumnFormula>
    </tableColumn>
  </tableColumns>
  <tableStyleInfo name="TableStyleMedium14" showFirstColumn="0" showLastColumn="0" showRowStripes="1" showColumnStripes="0"/>
</table>
</file>

<file path=xl/tables/table43.xml><?xml version="1.0" encoding="utf-8"?>
<table xmlns="http://schemas.openxmlformats.org/spreadsheetml/2006/main" id="67" name="Tabla1183468" displayName="Tabla1183468" ref="A6:D31" totalsRowShown="0" headerRowDxfId="947" dataDxfId="945" headerRowBorderDxfId="946" tableBorderDxfId="944" totalsRowBorderDxfId="943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942"/>
    <tableColumn id="2" name="Total exportaciones_x000a_ a USA (US$ millones)" dataDxfId="941">
      <calculatedColumnFormula>'Export 03'!B2</calculatedColumnFormula>
    </tableColumn>
    <tableColumn id="3" name="Pib Colombia a pesos corrientes_x000a_ (US$ miles de millones)" dataDxfId="940"/>
    <tableColumn id="4" name="Porcentaje de _x000a_Exportaciones del PIB a USA" dataDxfId="939" dataCellStyle="Porcentaje">
      <calculatedColumnFormula>B7/(C7*1000)</calculatedColumnFormula>
    </tableColumn>
  </tableColumns>
  <tableStyleInfo name="TableStyleMedium14" showFirstColumn="0" showLastColumn="0" showRowStripes="1" showColumnStripes="0"/>
</table>
</file>

<file path=xl/tables/table44.xml><?xml version="1.0" encoding="utf-8"?>
<table xmlns="http://schemas.openxmlformats.org/spreadsheetml/2006/main" id="68" name="Tabla14203569" displayName="Tabla14203569" ref="A65:D90" totalsRowShown="0" headerRowDxfId="938" dataDxfId="936" headerRowBorderDxfId="937" tableBorderDxfId="935" totalsRowBorderDxfId="934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933"/>
    <tableColumn id="2" name="Total exportaciones_x000a_ a Colombia (US$ miles)" dataDxfId="932">
      <calculatedColumnFormula>'Import 03'!B2</calculatedColumnFormula>
    </tableColumn>
    <tableColumn id="3" name="Pib USA_x000a_ (US$ Billones)" dataDxfId="931"/>
    <tableColumn id="4" name="Porcentaje de _x000a_Exportaciones del PIB a Colombia" dataDxfId="930" dataCellStyle="Porcentaje">
      <calculatedColumnFormula>(B66/C66)/10000000</calculatedColumnFormula>
    </tableColumn>
  </tableColumns>
  <tableStyleInfo name="TableStyleMedium14" showFirstColumn="0" showLastColumn="0" showRowStripes="1" showColumnStripes="0"/>
</table>
</file>

<file path=xl/tables/table45.xml><?xml version="1.0" encoding="utf-8"?>
<table xmlns="http://schemas.openxmlformats.org/spreadsheetml/2006/main" id="69" name="Tabla145223670" displayName="Tabla145223670" ref="A35:D60" totalsRowShown="0" headerRowDxfId="929" dataDxfId="927" headerRowBorderDxfId="928" tableBorderDxfId="926" totalsRowBorderDxfId="925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924"/>
    <tableColumn id="2" name="Total importaciones_x000a_ a Colombia (US$ miles)" dataDxfId="923">
      <calculatedColumnFormula>'Import 03'!B2</calculatedColumnFormula>
    </tableColumn>
    <tableColumn id="3" name="Pib Colombia a pesos corrientes_x000a_ (US$ miles de millones)" dataDxfId="922"/>
    <tableColumn id="4" name="Porcentaje de _x000a_Importaciones del PIB a Colombia" dataDxfId="921" dataCellStyle="Porcentaje">
      <calculatedColumnFormula>(B36/C36)/10000</calculatedColumnFormula>
    </tableColumn>
  </tableColumns>
  <tableStyleInfo name="TableStyleMedium14" showFirstColumn="0" showLastColumn="0" showRowStripes="1" showColumnStripes="0"/>
</table>
</file>

<file path=xl/tables/table46.xml><?xml version="1.0" encoding="utf-8"?>
<table xmlns="http://schemas.openxmlformats.org/spreadsheetml/2006/main" id="70" name="Tabla1415233771" displayName="Tabla1415233771" ref="A95:D120" totalsRowShown="0" headerRowDxfId="920" dataDxfId="918" headerRowBorderDxfId="919" tableBorderDxfId="917" totalsRowBorderDxfId="916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915"/>
    <tableColumn id="2" name="Total importaciones a USA_x000a_ de Colombia (US$ millones)" dataDxfId="914">
      <calculatedColumnFormula>B7</calculatedColumnFormula>
    </tableColumn>
    <tableColumn id="3" name="Pib USA_x000a_ (US$ Billones)" dataDxfId="913"/>
    <tableColumn id="4" name="Porcentaje de _x000a_Importaciones del PIB en USA" dataDxfId="912" dataCellStyle="Porcentaje">
      <calculatedColumnFormula>(B96/C96)/100000000</calculatedColumnFormula>
    </tableColumn>
  </tableColumns>
  <tableStyleInfo name="TableStyleMedium14" showFirstColumn="0" showLastColumn="0" showRowStripes="1" showColumnStripes="0"/>
</table>
</file>

<file path=xl/tables/table47.xml><?xml version="1.0" encoding="utf-8"?>
<table xmlns="http://schemas.openxmlformats.org/spreadsheetml/2006/main" id="71" name="Tabla116243872" displayName="Tabla116243872" ref="A124:D149" totalsRowShown="0" headerRowDxfId="911" dataDxfId="909" headerRowBorderDxfId="910" tableBorderDxfId="908" totalsRowBorderDxfId="907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906"/>
    <tableColumn id="2" name="Balanza Comercial Absoluta Colombia _x000a_( US$ millones)" dataDxfId="905">
      <calculatedColumnFormula>((B7*1000)+B36)/1000</calculatedColumnFormula>
    </tableColumn>
    <tableColumn id="3" name="Pib Colombia a pesos corrientes_x000a_ (US$ miles de millones)" dataDxfId="904"/>
    <tableColumn id="4" name="Porcentaje de _x000a_Intercambio Comercial del PIB Colombia" dataDxfId="903" dataCellStyle="Porcentaje">
      <calculatedColumnFormula>(B125/C125)/1000</calculatedColumnFormula>
    </tableColumn>
  </tableColumns>
  <tableStyleInfo name="TableStyleMedium14" showFirstColumn="0" showLastColumn="0" showRowStripes="1" showColumnStripes="0"/>
</table>
</file>

<file path=xl/tables/table48.xml><?xml version="1.0" encoding="utf-8"?>
<table xmlns="http://schemas.openxmlformats.org/spreadsheetml/2006/main" id="72" name="Tabla11617253973" displayName="Tabla11617253973" ref="A153:D178" totalsRowShown="0" headerRowDxfId="902" dataDxfId="900" headerRowBorderDxfId="901" tableBorderDxfId="899" totalsRowBorderDxfId="898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897"/>
    <tableColumn id="2" name="Balanza Comercial Absoluta USA_x000a_(US$ millones)" dataDxfId="896">
      <calculatedColumnFormula>B125</calculatedColumnFormula>
    </tableColumn>
    <tableColumn id="3" name="Pib USA_x000a_ (US$ Billones)" dataDxfId="895"/>
    <tableColumn id="4" name="Porcentaje de _x000a_Intercambio Comercial del PIB USA" dataDxfId="894" dataCellStyle="Porcentaje">
      <calculatedColumnFormula>(B154/C154)/100000</calculatedColumnFormula>
    </tableColumn>
  </tableColumns>
  <tableStyleInfo name="TableStyleMedium14" showFirstColumn="0" showLastColumn="0" showRowStripes="1" showColumnStripes="0"/>
</table>
</file>

<file path=xl/tables/table49.xml><?xml version="1.0" encoding="utf-8"?>
<table xmlns="http://schemas.openxmlformats.org/spreadsheetml/2006/main" id="73" name="Tabla11619264074" displayName="Tabla11619264074" ref="A183:E208" totalsRowShown="0" headerRowDxfId="893" dataDxfId="891" headerRowBorderDxfId="892" tableBorderDxfId="890" totalsRowBorderDxfId="889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888"/>
    <tableColumn id="2" name="Balanza Comercial Absoluta Colombia _x000a_(US$ millones)" dataDxfId="887">
      <calculatedColumnFormula>B154</calculatedColumnFormula>
    </tableColumn>
    <tableColumn id="5" name="Balanza Comercial Absoluta Colombia _x000a_(US$ millones)/2" dataDxfId="886">
      <calculatedColumnFormula>Tabla11619264074[[#This Row],[Balanza Comercial Absoluta Colombia 
(US$ millones)]]/2</calculatedColumnFormula>
    </tableColumn>
    <tableColumn id="3" name="Pib Colombia a pesos corrientes_x000a_ (US$ miles de millones)" dataDxfId="885"/>
    <tableColumn id="4" name="Porcentaje de _x000a_Intercambio Comercial del PIB Colombia" dataDxfId="884" dataCellStyle="Porcentaje">
      <calculatedColumnFormula>C184/(D184*1000)</calculatedColumn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id="23" name="Tabla11624" displayName="Tabla11624" ref="A124:D149" totalsRowShown="0" headerRowDxfId="1313" dataDxfId="1311" headerRowBorderDxfId="1312" tableBorderDxfId="1310" totalsRowBorderDxfId="1309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308"/>
    <tableColumn id="2" name="Balanza Comercial Absoluta Colombia _x000a_(Precio CIF, US$ miles)" dataDxfId="1307">
      <calculatedColumnFormula>B7+B36</calculatedColumnFormula>
    </tableColumn>
    <tableColumn id="3" name="Pib Colombia a pesos corrientes_x000a_ (US$ miles de millones)" dataDxfId="1306"/>
    <tableColumn id="4" name="Porcentaje de _x000a_Intercambio Comercial del PIB Colombia" dataDxfId="1305" dataCellStyle="Porcentaje">
      <calculatedColumnFormula>(B125/C125)/1000</calculatedColumnFormula>
    </tableColumn>
  </tableColumns>
  <tableStyleInfo name="TableStyleMedium14" showFirstColumn="0" showLastColumn="0" showRowStripes="1" showColumnStripes="0"/>
</table>
</file>

<file path=xl/tables/table50.xml><?xml version="1.0" encoding="utf-8"?>
<table xmlns="http://schemas.openxmlformats.org/spreadsheetml/2006/main" id="74" name="Tabla1161721274175" displayName="Tabla1161721274175" ref="A212:E237" totalsRowShown="0" headerRowDxfId="883" dataDxfId="881" headerRowBorderDxfId="882" tableBorderDxfId="880" totalsRowBorderDxfId="879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878"/>
    <tableColumn id="2" name="Balanza Comercial Absoluta USA_x000a_(US$ millones)" dataDxfId="877">
      <calculatedColumnFormula>B125</calculatedColumnFormula>
    </tableColumn>
    <tableColumn id="5" name="Balanza Comercial Absoluta USA_x000a_(US$ millones)/2" dataDxfId="876">
      <calculatedColumnFormula>Tabla1161721274175[[#This Row],[Balanza Comercial Absoluta USA
(US$ millones)]]/2</calculatedColumnFormula>
    </tableColumn>
    <tableColumn id="3" name="Pib USA_x000a_ (US$ Billones)" dataDxfId="875"/>
    <tableColumn id="4" name="Porcentaje de _x000a_Intercambio Comercial del PIB USA" dataDxfId="874" dataCellStyle="Porcentaje">
      <calculatedColumnFormula>(C213/D213)/10000</calculatedColumnFormula>
    </tableColumn>
  </tableColumns>
  <tableStyleInfo name="TableStyleMedium14" showFirstColumn="0" showLastColumn="0" showRowStripes="1" showColumnStripes="0"/>
</table>
</file>

<file path=xl/tables/table51.xml><?xml version="1.0" encoding="utf-8"?>
<table xmlns="http://schemas.openxmlformats.org/spreadsheetml/2006/main" id="64" name="Tabla19284265" displayName="Tabla19284265" ref="B5:E30" totalsRowShown="0" headerRowDxfId="873" dataDxfId="871" headerRowBorderDxfId="872" tableBorderDxfId="870" totalsRowBorderDxfId="869">
  <tableColumns count="4">
    <tableColumn id="1" name="Año" dataDxfId="868"/>
    <tableColumn id="2" name="Total exportaciones_x000a_ a USA (US$ millones)" dataDxfId="867">
      <calculatedColumnFormula>'Export 03'!B2</calculatedColumnFormula>
    </tableColumn>
    <tableColumn id="3" name="Total exportaciones_x000a_ Mundo (US$ trillones)" dataDxfId="866"/>
    <tableColumn id="4" name="Porcentaje de _x000a_Exportaciones del PIB a USA" dataDxfId="865" dataCellStyle="Porcentaje">
      <calculatedColumnFormula>(C6/D6)/100000000000</calculatedColumnFormula>
    </tableColumn>
  </tableColumns>
  <tableStyleInfo name="TableStyleMedium14" showFirstColumn="0" showLastColumn="0" showRowStripes="1" showColumnStripes="0"/>
</table>
</file>

<file path=xl/tables/table52.xml><?xml version="1.0" encoding="utf-8"?>
<table xmlns="http://schemas.openxmlformats.org/spreadsheetml/2006/main" id="65" name="Tabla1910294366" displayName="Tabla1910294366" ref="B36:E61" totalsRowShown="0" headerRowDxfId="864" dataDxfId="862" headerRowBorderDxfId="863" tableBorderDxfId="861" totalsRowBorderDxfId="860">
  <tableColumns count="4">
    <tableColumn id="1" name="Año" dataDxfId="859"/>
    <tableColumn id="2" name="Total importaciones_x000a_ de USA (US$ miles)" dataDxfId="858">
      <calculatedColumnFormula>'Import 03'!B2</calculatedColumnFormula>
    </tableColumn>
    <tableColumn id="3" name="Total exportaciones_x000a_ Mundo (US$ trillones)" dataDxfId="857"/>
    <tableColumn id="4" name="Porcentaje de _x000a_importaciones del PIB de USA" dataDxfId="856" dataCellStyle="Porcentaje">
      <calculatedColumnFormula>(C37/D37)/1000000000</calculatedColumnFormula>
    </tableColumn>
  </tableColumns>
  <tableStyleInfo name="TableStyleMedium14" showFirstColumn="0" showLastColumn="0" showRowStripes="1" showColumnStripes="0"/>
</table>
</file>

<file path=xl/tables/table53.xml><?xml version="1.0" encoding="utf-8"?>
<table xmlns="http://schemas.openxmlformats.org/spreadsheetml/2006/main" id="66" name="Tabla191011304467" displayName="Tabla191011304467" ref="B67:E92" totalsRowShown="0" headerRowDxfId="855" dataDxfId="853" headerRowBorderDxfId="854" tableBorderDxfId="852" totalsRowBorderDxfId="851">
  <tableColumns count="4">
    <tableColumn id="1" name="Año" dataDxfId="850"/>
    <tableColumn id="2" name="Total Intercambio Comercial de Colombia (US$ millones)" dataDxfId="849">
      <calculatedColumnFormula>'Apertura 03'!B125</calculatedColumnFormula>
    </tableColumn>
    <tableColumn id="3" name="Total exportaciones + importaciones_x000a_ Mundo (US$ trillones)" dataDxfId="848">
      <calculatedColumnFormula>D37*2</calculatedColumnFormula>
    </tableColumn>
    <tableColumn id="4" name="Porcentaje de _x000a_Intercambio Comercial Colombia" dataDxfId="847" dataCellStyle="Porcentaje">
      <calculatedColumnFormula>(C68/D68)/10000000</calculatedColumnFormula>
    </tableColumn>
  </tableColumns>
  <tableStyleInfo name="TableStyleMedium14" showFirstColumn="0" showLastColumn="0" showRowStripes="1" showColumnStripes="0"/>
</table>
</file>

<file path=xl/tables/table54.xml><?xml version="1.0" encoding="utf-8"?>
<table xmlns="http://schemas.openxmlformats.org/spreadsheetml/2006/main" id="61" name="Tabla19101113314562" displayName="Tabla19101113314562" ref="A4:F29" totalsRowShown="0" headerRowDxfId="846" dataDxfId="844" headerRowBorderDxfId="845" tableBorderDxfId="843" totalsRowBorderDxfId="842">
  <tableColumns count="6">
    <tableColumn id="1" name="Año" dataDxfId="841"/>
    <tableColumn id="2" name="Total Balanza Comercial de Colombia (US$ millones)" dataDxfId="840">
      <calculatedColumnFormula>'Balanza c 03'!B2</calculatedColumnFormula>
    </tableColumn>
    <tableColumn id="5" name="Total exportaciones de Colombia hacia el mundo_x000a_  (US$ millones FOB)" dataDxfId="839"/>
    <tableColumn id="6" name="Importaciones de Colombia_x000a_Precio (US$ miles)" dataDxfId="838"/>
    <tableColumn id="3" name="Total Importaciones Colombia (US$millones CIF)" dataDxfId="837"/>
    <tableColumn id="4" name="VCR" dataDxfId="836" dataCellStyle="Porcentaje">
      <calculatedColumnFormula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calculatedColumnFormula>
    </tableColumn>
  </tableColumns>
  <tableStyleInfo name="TableStyleMedium14" showFirstColumn="0" showLastColumn="0" showRowStripes="1" showColumnStripes="0"/>
</table>
</file>

<file path=xl/tables/table55.xml><?xml version="1.0" encoding="utf-8"?>
<table xmlns="http://schemas.openxmlformats.org/spreadsheetml/2006/main" id="62" name="Tabla1910111314324663" displayName="Tabla1910111314324663" ref="A33:G58" totalsRowShown="0" headerRowDxfId="835" dataDxfId="833" headerRowBorderDxfId="834" tableBorderDxfId="832" totalsRowBorderDxfId="831">
  <tableColumns count="7">
    <tableColumn id="1" name="Año" dataDxfId="830"/>
    <tableColumn id="2" name="Total exportaciones del grupo_x000a_ a USA (US$ millones)" dataDxfId="829">
      <calculatedColumnFormula>'Participación Mundial 03'!C6</calculatedColumnFormula>
    </tableColumn>
    <tableColumn id="17" name="Total exportaciones_x000a_ a USA (US$ miles)" dataDxfId="828"/>
    <tableColumn id="5" name="Total exportaciones del grupo hacia el mundo (US$ millones)" dataDxfId="827" dataCellStyle="Moneda"/>
    <tableColumn id="3" name="Total exportaciones de Colombia hacia el mundo_x000a_  (US$ Billones)" dataDxfId="826"/>
    <tableColumn id="4" name="Indice de Balassa" dataDxfId="825" dataCellStyle="Porcentaje">
      <calculatedColumnFormula>((Tabla1910111314324663[[#This Row],[Total exportaciones del grupo
 a USA (US$ millones)]]*1000)/(Tabla1910111314324663[[#This Row],[Total exportaciones
 a USA (US$ miles)]])/((D34/1000)/E34))</calculatedColumnFormula>
    </tableColumn>
    <tableColumn id="7" name="Interpretación" dataDxfId="824">
      <calculatedColumnFormula>IF(Tabla1910111314324663[[#This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56.xml><?xml version="1.0" encoding="utf-8"?>
<table xmlns="http://schemas.openxmlformats.org/spreadsheetml/2006/main" id="63" name="Tabla191011131412334764" displayName="Tabla191011131412334764" ref="A62:E87" totalsRowShown="0" headerRowDxfId="823" dataDxfId="821" headerRowBorderDxfId="822" tableBorderDxfId="820" totalsRowBorderDxfId="819">
  <tableColumns count="5">
    <tableColumn id="1" name="Año" dataDxfId="818"/>
    <tableColumn id="2" name="Balanza Comercial Colombia _x000a_( US$ millones)" dataDxfId="817">
      <calculatedColumnFormula>'Balanza c 03'!B2</calculatedColumnFormula>
    </tableColumn>
    <tableColumn id="17" name="Balanza Comercial Absoluta Colombia _x000a_(US$ millones)" dataDxfId="816">
      <calculatedColumnFormula>'Apertura 03'!B125</calculatedColumnFormula>
    </tableColumn>
    <tableColumn id="4" name="IGLL" dataDxfId="815" dataCellStyle="Porcentaje">
      <calculatedColumnFormula>1-(Tabla191011131412334764[[#This Row],[Balanza Comercial Colombia 
( US$ millones)]]/Tabla191011131412334764[[#This Row],[Balanza Comercial Absoluta Colombia 
(US$ millones)]])</calculatedColumnFormula>
    </tableColumn>
    <tableColumn id="7" name="Interpretación" dataDxfId="814">
      <calculatedColumnFormula>IF(D63&gt;0.1&lt;0.33,"POTENCIAL CMRCIO INT",IF(D63&gt;0.33,"INDICIOS DE CMRCIO INT",IF(D63&lt;0.1,"REL. INTERINDUSTRIALES")))</calculatedColumnFormula>
    </tableColumn>
  </tableColumns>
  <tableStyleInfo name="TableStyleMedium14" showFirstColumn="0" showLastColumn="0" showRowStripes="1" showColumnStripes="0"/>
</table>
</file>

<file path=xl/tables/table57.xml><?xml version="1.0" encoding="utf-8"?>
<table xmlns="http://schemas.openxmlformats.org/spreadsheetml/2006/main" id="75" name="Tabla1183476" displayName="Tabla1183476" ref="A6:D31" totalsRowShown="0" headerRowDxfId="813" dataDxfId="811" headerRowBorderDxfId="812" tableBorderDxfId="810" totalsRowBorderDxfId="809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808"/>
    <tableColumn id="2" name="Total exportaciones_x000a_ a USA (US$ millones)" dataDxfId="807">
      <calculatedColumnFormula>'Export 04'!B2</calculatedColumnFormula>
    </tableColumn>
    <tableColumn id="3" name="Pib Colombia a pesos corrientes_x000a_ (US$ miles de millones)" dataDxfId="806"/>
    <tableColumn id="4" name="Porcentaje de _x000a_Exportaciones del PIB a USA" dataDxfId="805" dataCellStyle="Porcentaje">
      <calculatedColumnFormula>B7/(C7*100)</calculatedColumnFormula>
    </tableColumn>
  </tableColumns>
  <tableStyleInfo name="TableStyleMedium14" showFirstColumn="0" showLastColumn="0" showRowStripes="1" showColumnStripes="0"/>
</table>
</file>

<file path=xl/tables/table58.xml><?xml version="1.0" encoding="utf-8"?>
<table xmlns="http://schemas.openxmlformats.org/spreadsheetml/2006/main" id="76" name="Tabla14203577" displayName="Tabla14203577" ref="A65:D90" totalsRowShown="0" headerRowDxfId="804" dataDxfId="802" headerRowBorderDxfId="803" tableBorderDxfId="801" totalsRowBorderDxfId="800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799"/>
    <tableColumn id="2" name="Total exportaciones_x000a_ a Colombia (US$ millones)" dataDxfId="798">
      <calculatedColumnFormula>'Import 04'!B2</calculatedColumnFormula>
    </tableColumn>
    <tableColumn id="3" name="Pib USA_x000a_ (US$ Billones)" dataDxfId="797"/>
    <tableColumn id="4" name="Porcentaje de _x000a_Exportaciones del PIB a Colombia" dataDxfId="796" dataCellStyle="Porcentaje">
      <calculatedColumnFormula>(B66/C66)/10000</calculatedColumnFormula>
    </tableColumn>
  </tableColumns>
  <tableStyleInfo name="TableStyleMedium14" showFirstColumn="0" showLastColumn="0" showRowStripes="1" showColumnStripes="0"/>
</table>
</file>

<file path=xl/tables/table59.xml><?xml version="1.0" encoding="utf-8"?>
<table xmlns="http://schemas.openxmlformats.org/spreadsheetml/2006/main" id="77" name="Tabla145223678" displayName="Tabla145223678" ref="A35:D60" totalsRowShown="0" headerRowDxfId="795" dataDxfId="793" headerRowBorderDxfId="794" tableBorderDxfId="792" totalsRowBorderDxfId="791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790"/>
    <tableColumn id="2" name="Total importaciones_x000a_ a Colombia (US$ millones)" dataDxfId="789">
      <calculatedColumnFormula>'Import 04'!B2</calculatedColumnFormula>
    </tableColumn>
    <tableColumn id="3" name="Pib Colombia a pesos corrientes_x000a_ (US$ miles de millones)" dataDxfId="788"/>
    <tableColumn id="4" name="Porcentaje de _x000a_Importaciones del PIB a Colombia" dataDxfId="787" dataCellStyle="Porcentaje">
      <calculatedColumnFormula>(B36/C36)/100</calculatedColumn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id="24" name="Tabla1161725" displayName="Tabla1161725" ref="A153:D178" totalsRowShown="0" headerRowDxfId="1304" dataDxfId="1302" headerRowBorderDxfId="1303" tableBorderDxfId="1301" totalsRowBorderDxfId="1300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299"/>
    <tableColumn id="2" name="Balanza Comercial Absoluta USA_x000a_(Precio CIF, US$ miles)" dataDxfId="1298"/>
    <tableColumn id="3" name="Pib USA_x000a_ (US$ Billones)" dataDxfId="1297"/>
    <tableColumn id="4" name="Porcentaje de _x000a_Intercambio Comercial del PIB USA" dataDxfId="1296" dataCellStyle="Porcentaje">
      <calculatedColumnFormula>(B154/C154)/1000000000</calculatedColumnFormula>
    </tableColumn>
  </tableColumns>
  <tableStyleInfo name="TableStyleMedium14" showFirstColumn="0" showLastColumn="0" showRowStripes="1" showColumnStripes="0"/>
</table>
</file>

<file path=xl/tables/table60.xml><?xml version="1.0" encoding="utf-8"?>
<table xmlns="http://schemas.openxmlformats.org/spreadsheetml/2006/main" id="78" name="Tabla1415233779" displayName="Tabla1415233779" ref="A95:D120" totalsRowShown="0" headerRowDxfId="786" dataDxfId="784" headerRowBorderDxfId="785" tableBorderDxfId="783" totalsRowBorderDxfId="782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781"/>
    <tableColumn id="2" name="Total importaciones a USA_x000a_ de Colombia (US$ millones)" dataDxfId="780">
      <calculatedColumnFormula>B7</calculatedColumnFormula>
    </tableColumn>
    <tableColumn id="3" name="Pib USA_x000a_ (US$ Billones)" dataDxfId="779"/>
    <tableColumn id="4" name="Porcentaje de _x000a_Importaciones del PIB en USA" dataDxfId="778" dataCellStyle="Porcentaje">
      <calculatedColumnFormula>(B96/C96)/10000</calculatedColumnFormula>
    </tableColumn>
  </tableColumns>
  <tableStyleInfo name="TableStyleMedium14" showFirstColumn="0" showLastColumn="0" showRowStripes="1" showColumnStripes="0"/>
</table>
</file>

<file path=xl/tables/table61.xml><?xml version="1.0" encoding="utf-8"?>
<table xmlns="http://schemas.openxmlformats.org/spreadsheetml/2006/main" id="79" name="Tabla116243880" displayName="Tabla116243880" ref="A124:D149" totalsRowShown="0" headerRowDxfId="777" dataDxfId="775" headerRowBorderDxfId="776" tableBorderDxfId="774" totalsRowBorderDxfId="773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772"/>
    <tableColumn id="2" name="Balanza Comercial Absoluta Colombia _x000a_( US$ millones)" dataDxfId="771">
      <calculatedColumnFormula>B7+B36</calculatedColumnFormula>
    </tableColumn>
    <tableColumn id="3" name="Pib Colombia a pesos corrientes_x000a_ (US$ miles de millones)" dataDxfId="770"/>
    <tableColumn id="4" name="Porcentaje de _x000a_Intercambio Comercial del PIB Colombia" dataDxfId="769" dataCellStyle="Porcentaje">
      <calculatedColumnFormula>(B125/C125)/100</calculatedColumnFormula>
    </tableColumn>
  </tableColumns>
  <tableStyleInfo name="TableStyleMedium14" showFirstColumn="0" showLastColumn="0" showRowStripes="1" showColumnStripes="0"/>
</table>
</file>

<file path=xl/tables/table62.xml><?xml version="1.0" encoding="utf-8"?>
<table xmlns="http://schemas.openxmlformats.org/spreadsheetml/2006/main" id="80" name="Tabla11617253981" displayName="Tabla11617253981" ref="A153:D178" totalsRowShown="0" headerRowDxfId="768" dataDxfId="766" headerRowBorderDxfId="767" tableBorderDxfId="765" totalsRowBorderDxfId="764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763"/>
    <tableColumn id="2" name="Balanza Comercial Absoluta USA_x000a_(US$ millones)" dataDxfId="762">
      <calculatedColumnFormula>B125</calculatedColumnFormula>
    </tableColumn>
    <tableColumn id="3" name="Pib USA_x000a_ (US$ Billones)" dataDxfId="761"/>
    <tableColumn id="4" name="Porcentaje de _x000a_Intercambio Comercial del PIB USA" dataDxfId="760" dataCellStyle="Porcentaje">
      <calculatedColumnFormula>(B154/C154)/10000</calculatedColumnFormula>
    </tableColumn>
  </tableColumns>
  <tableStyleInfo name="TableStyleMedium14" showFirstColumn="0" showLastColumn="0" showRowStripes="1" showColumnStripes="0"/>
</table>
</file>

<file path=xl/tables/table63.xml><?xml version="1.0" encoding="utf-8"?>
<table xmlns="http://schemas.openxmlformats.org/spreadsheetml/2006/main" id="81" name="Tabla11619264082" displayName="Tabla11619264082" ref="A183:E208" totalsRowShown="0" headerRowDxfId="759" dataDxfId="757" headerRowBorderDxfId="758" tableBorderDxfId="756" totalsRowBorderDxfId="755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754"/>
    <tableColumn id="2" name="Balanza Comercial Absoluta Colombia _x000a_(US$ millones)" dataDxfId="753">
      <calculatedColumnFormula>B154</calculatedColumnFormula>
    </tableColumn>
    <tableColumn id="5" name="Balanza Comercial Absoluta Colombia _x000a_(US$ millones)/2" dataDxfId="752">
      <calculatedColumnFormula>Tabla11619264082[[#This Row],[Balanza Comercial Absoluta Colombia 
(US$ millones)]]/2</calculatedColumnFormula>
    </tableColumn>
    <tableColumn id="3" name="Pib Colombia a pesos corrientes_x000a_ (US$ miles de millones)" dataDxfId="751"/>
    <tableColumn id="4" name="Porcentaje de _x000a_Intercambio Comercial del PIB Colombia" dataDxfId="750" dataCellStyle="Porcentaje">
      <calculatedColumnFormula>C184/(D184*100)</calculatedColumnFormula>
    </tableColumn>
  </tableColumns>
  <tableStyleInfo name="TableStyleMedium14" showFirstColumn="0" showLastColumn="0" showRowStripes="1" showColumnStripes="0"/>
</table>
</file>

<file path=xl/tables/table64.xml><?xml version="1.0" encoding="utf-8"?>
<table xmlns="http://schemas.openxmlformats.org/spreadsheetml/2006/main" id="82" name="Tabla1161721274183" displayName="Tabla1161721274183" ref="A212:E237" totalsRowShown="0" headerRowDxfId="749" dataDxfId="747" headerRowBorderDxfId="748" tableBorderDxfId="746" totalsRowBorderDxfId="745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744"/>
    <tableColumn id="2" name="Balanza Comercial Absoluta USA_x000a_(US$ millones)" dataDxfId="743">
      <calculatedColumnFormula>B125</calculatedColumnFormula>
    </tableColumn>
    <tableColumn id="5" name="Balanza Comercial Absoluta USA_x000a_(US$ millones)/2" dataDxfId="742">
      <calculatedColumnFormula>Tabla1161721274183[[#This Row],[Balanza Comercial Absoluta USA
(US$ millones)]]/2</calculatedColumnFormula>
    </tableColumn>
    <tableColumn id="3" name="Pib USA_x000a_ (US$ Billones)" dataDxfId="741"/>
    <tableColumn id="4" name="Porcentaje de _x000a_Intercambio Comercial del PIB USA" dataDxfId="740" dataCellStyle="Porcentaje">
      <calculatedColumnFormula>(C213/D213)/10000</calculatedColumnFormula>
    </tableColumn>
  </tableColumns>
  <tableStyleInfo name="TableStyleMedium14" showFirstColumn="0" showLastColumn="0" showRowStripes="1" showColumnStripes="0"/>
</table>
</file>

<file path=xl/tables/table65.xml><?xml version="1.0" encoding="utf-8"?>
<table xmlns="http://schemas.openxmlformats.org/spreadsheetml/2006/main" id="83" name="Tabla19284284" displayName="Tabla19284284" ref="B5:E30" totalsRowShown="0" headerRowDxfId="739" dataDxfId="737" headerRowBorderDxfId="738" tableBorderDxfId="736" totalsRowBorderDxfId="735">
  <tableColumns count="4">
    <tableColumn id="1" name="Año" dataDxfId="734"/>
    <tableColumn id="2" name="Total exportaciones_x000a_ a USA (US$ millones)" dataDxfId="733">
      <calculatedColumnFormula>'Export 04'!B2</calculatedColumnFormula>
    </tableColumn>
    <tableColumn id="3" name="Total exportaciones_x000a_ Mundo (US$ trillones)" dataDxfId="732"/>
    <tableColumn id="4" name="Porcentaje de _x000a_Exportaciones del PIB a USA" dataDxfId="731" dataCellStyle="Porcentaje">
      <calculatedColumnFormula>(C6/D6)/100000000000</calculatedColumnFormula>
    </tableColumn>
  </tableColumns>
  <tableStyleInfo name="TableStyleMedium14" showFirstColumn="0" showLastColumn="0" showRowStripes="1" showColumnStripes="0"/>
</table>
</file>

<file path=xl/tables/table66.xml><?xml version="1.0" encoding="utf-8"?>
<table xmlns="http://schemas.openxmlformats.org/spreadsheetml/2006/main" id="84" name="Tabla1910294385" displayName="Tabla1910294385" ref="B36:E61" totalsRowShown="0" headerRowDxfId="730" dataDxfId="728" headerRowBorderDxfId="729" tableBorderDxfId="727" totalsRowBorderDxfId="726">
  <tableColumns count="4">
    <tableColumn id="1" name="Año" dataDxfId="725"/>
    <tableColumn id="2" name="Total importaciones_x000a_ de USA (US$ millones)" dataDxfId="724">
      <calculatedColumnFormula>' Per Cápita 04'!B36</calculatedColumnFormula>
    </tableColumn>
    <tableColumn id="3" name="Total exportaciones_x000a_ Mundo (US$ trillones)" dataDxfId="723"/>
    <tableColumn id="4" name="Porcentaje de _x000a_importaciones del PIB de USA" dataDxfId="722" dataCellStyle="Porcentaje">
      <calculatedColumnFormula>(C37/D37)/1000000000</calculatedColumnFormula>
    </tableColumn>
  </tableColumns>
  <tableStyleInfo name="TableStyleMedium14" showFirstColumn="0" showLastColumn="0" showRowStripes="1" showColumnStripes="0"/>
</table>
</file>

<file path=xl/tables/table67.xml><?xml version="1.0" encoding="utf-8"?>
<table xmlns="http://schemas.openxmlformats.org/spreadsheetml/2006/main" id="85" name="Tabla191011304486" displayName="Tabla191011304486" ref="B67:E92" totalsRowShown="0" headerRowDxfId="721" dataDxfId="719" headerRowBorderDxfId="720" tableBorderDxfId="718" totalsRowBorderDxfId="717">
  <tableColumns count="4">
    <tableColumn id="1" name="Año" dataDxfId="716"/>
    <tableColumn id="2" name="Total Intercambio Comercial de Colombia (US$ millones)" dataDxfId="715">
      <calculatedColumnFormula>' Per Cápita 04'!B65</calculatedColumnFormula>
    </tableColumn>
    <tableColumn id="3" name="Total exportaciones + importaciones_x000a_ Mundo (US$ trillones)" dataDxfId="714">
      <calculatedColumnFormula>D37*2</calculatedColumnFormula>
    </tableColumn>
    <tableColumn id="4" name="Porcentaje de _x000a_Intercambio Comercial Colombia" dataDxfId="713" dataCellStyle="Porcentaje">
      <calculatedColumnFormula>(C68/D68)/100000000</calculatedColumnFormula>
    </tableColumn>
  </tableColumns>
  <tableStyleInfo name="TableStyleMedium14" showFirstColumn="0" showLastColumn="0" showRowStripes="1" showColumnStripes="0"/>
</table>
</file>

<file path=xl/tables/table68.xml><?xml version="1.0" encoding="utf-8"?>
<table xmlns="http://schemas.openxmlformats.org/spreadsheetml/2006/main" id="86" name="Tabla19101113314587" displayName="Tabla19101113314587" ref="A4:F29" totalsRowShown="0" headerRowDxfId="712" dataDxfId="710" headerRowBorderDxfId="711" tableBorderDxfId="709" totalsRowBorderDxfId="708">
  <tableColumns count="6">
    <tableColumn id="1" name="Año" dataDxfId="707"/>
    <tableColumn id="2" name="Total Balanza Comercial de Colombia (US$ millones)" dataDxfId="706">
      <calculatedColumnFormula>'Balanza c 04'!B2</calculatedColumnFormula>
    </tableColumn>
    <tableColumn id="5" name="Total exportaciones de Colombia hacia el mundo_x000a_  (US$ millones FOB)" dataDxfId="705"/>
    <tableColumn id="6" name="Importaciones de Colombia_x000a_Precio (US$ miles)" dataDxfId="704"/>
    <tableColumn id="3" name="Total Importaciones Colombia (US$millones CIF)" dataDxfId="703"/>
    <tableColumn id="4" name="VCR" dataDxfId="702" dataCellStyle="Porcentaje">
      <calculatedColumnFormula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calculatedColumnFormula>
    </tableColumn>
  </tableColumns>
  <tableStyleInfo name="TableStyleMedium14" showFirstColumn="0" showLastColumn="0" showRowStripes="1" showColumnStripes="0"/>
</table>
</file>

<file path=xl/tables/table69.xml><?xml version="1.0" encoding="utf-8"?>
<table xmlns="http://schemas.openxmlformats.org/spreadsheetml/2006/main" id="87" name="Tabla1910111314324688" displayName="Tabla1910111314324688" ref="A33:G58" totalsRowShown="0" headerRowDxfId="701" dataDxfId="699" headerRowBorderDxfId="700" tableBorderDxfId="698" totalsRowBorderDxfId="697">
  <tableColumns count="7">
    <tableColumn id="1" name="Año" dataDxfId="696"/>
    <tableColumn id="2" name="Total exportaciones del grupo_x000a_ a USA (US$ millones)" dataDxfId="695">
      <calculatedColumnFormula>'Participación Mundial 04'!C6</calculatedColumnFormula>
    </tableColumn>
    <tableColumn id="17" name="Total exportaciones_x000a_ a USA (US$ miles)" dataDxfId="694"/>
    <tableColumn id="5" name="Total exportaciones del grupo hacia el mundo (US$ millones)" dataDxfId="693" dataCellStyle="Moneda"/>
    <tableColumn id="3" name="Total exportaciones de Colombia hacia el mundo_x000a_  (US$ Billones)" dataDxfId="692"/>
    <tableColumn id="4" name="Indice de Balassa" dataDxfId="691" dataCellStyle="Porcentaje">
      <calculatedColumnFormula>((Tabla1910111314324688[[#This Row],[Total exportaciones del grupo
 a USA (US$ millones)]]*1000)/(Tabla1910111314324688[[#This Row],[Total exportaciones
 a USA (US$ miles)]])/((D34/1000)/E34))</calculatedColumnFormula>
    </tableColumn>
    <tableColumn id="7" name="Interpretación" dataDxfId="690">
      <calculatedColumnFormula>IF(Tabla1910111314324688[[#This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id="25" name="Tabla1161926" displayName="Tabla1161926" ref="A183:E208" totalsRowShown="0" headerRowDxfId="1295" dataDxfId="1293" headerRowBorderDxfId="1294" tableBorderDxfId="1292" totalsRowBorderDxfId="1291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1290"/>
    <tableColumn id="2" name="Balanza Comercial Absoluta Colombia _x000a_(Precio CIF, US$ millones)" dataDxfId="1289"/>
    <tableColumn id="5" name="Balanza Comercial Absoluta Colombia _x000a_(Precio CIF, US$ millones)/2" dataDxfId="1288">
      <calculatedColumnFormula>Tabla1161926[[#This Row],[Balanza Comercial Absoluta Colombia 
(Precio CIF, US$ millones)]]/2</calculatedColumnFormula>
    </tableColumn>
    <tableColumn id="3" name="Pib Colombia a pesos corrientes_x000a_ (US$ miles de millones)" dataDxfId="1287"/>
    <tableColumn id="4" name="Porcentaje de _x000a_Intercambio Comercial del PIB Colombia" dataDxfId="1286" dataCellStyle="Porcentaje">
      <calculatedColumnFormula>C184/D184</calculatedColumnFormula>
    </tableColumn>
  </tableColumns>
  <tableStyleInfo name="TableStyleMedium14" showFirstColumn="0" showLastColumn="0" showRowStripes="1" showColumnStripes="0"/>
</table>
</file>

<file path=xl/tables/table70.xml><?xml version="1.0" encoding="utf-8"?>
<table xmlns="http://schemas.openxmlformats.org/spreadsheetml/2006/main" id="88" name="Tabla191011131412334789" displayName="Tabla191011131412334789" ref="A62:E87" totalsRowShown="0" headerRowDxfId="689" dataDxfId="687" headerRowBorderDxfId="688" tableBorderDxfId="686" totalsRowBorderDxfId="685">
  <tableColumns count="5">
    <tableColumn id="1" name="Año" dataDxfId="684"/>
    <tableColumn id="2" name="Balanza Comercial Colombia _x000a_( US$ millones)" dataDxfId="683">
      <calculatedColumnFormula>'Balanza c 04'!B2</calculatedColumnFormula>
    </tableColumn>
    <tableColumn id="17" name="Balanza Comercial Absoluta Colombia _x000a_(US$ millones)" dataDxfId="682">
      <calculatedColumnFormula>'Apertura 04'!B125</calculatedColumnFormula>
    </tableColumn>
    <tableColumn id="4" name="IGLL" dataDxfId="681" dataCellStyle="Porcentaje">
      <calculatedColumnFormula>1-(Tabla191011131412334789[[#This Row],[Balanza Comercial Colombia 
( US$ millones)]]/Tabla191011131412334789[[#This Row],[Balanza Comercial Absoluta Colombia 
(US$ millones)]])</calculatedColumnFormula>
    </tableColumn>
    <tableColumn id="7" name="Interpretación" dataDxfId="680">
      <calculatedColumnFormula>IF(D63&gt;0.1&lt;0.33,"POTENCIAL CMRCIO INT",IF(D63&gt;0.33,"INDICIOS DE CMRCIO INT",IF(D63&lt;0.1,"REL. INTERINDUSTRIALES")))</calculatedColumnFormula>
    </tableColumn>
  </tableColumns>
  <tableStyleInfo name="TableStyleMedium14" showFirstColumn="0" showLastColumn="0" showRowStripes="1" showColumnStripes="0"/>
</table>
</file>

<file path=xl/tables/table71.xml><?xml version="1.0" encoding="utf-8"?>
<table xmlns="http://schemas.openxmlformats.org/spreadsheetml/2006/main" id="89" name="Tabla1183490" displayName="Tabla1183490" ref="A6:D31" totalsRowShown="0" headerRowDxfId="679" dataDxfId="677" headerRowBorderDxfId="678" tableBorderDxfId="676" totalsRowBorderDxfId="675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674"/>
    <tableColumn id="2" name="Total exportaciones_x000a_ a USA (US$ millones)" dataDxfId="673">
      <calculatedColumnFormula>'Export 05'!B2</calculatedColumnFormula>
    </tableColumn>
    <tableColumn id="3" name="Pib Colombia a pesos corrientes_x000a_ (US$ miles de millones)" dataDxfId="672"/>
    <tableColumn id="4" name="Porcentaje de _x000a_Exportaciones del PIB a USA" dataDxfId="671" dataCellStyle="Porcentaje">
      <calculatedColumnFormula>B7/(C7*100)</calculatedColumnFormula>
    </tableColumn>
  </tableColumns>
  <tableStyleInfo name="TableStyleMedium14" showFirstColumn="0" showLastColumn="0" showRowStripes="1" showColumnStripes="0"/>
</table>
</file>

<file path=xl/tables/table72.xml><?xml version="1.0" encoding="utf-8"?>
<table xmlns="http://schemas.openxmlformats.org/spreadsheetml/2006/main" id="90" name="Tabla14203591" displayName="Tabla14203591" ref="A65:D90" totalsRowShown="0" headerRowDxfId="670" dataDxfId="668" headerRowBorderDxfId="669" tableBorderDxfId="667" totalsRowBorderDxfId="666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665"/>
    <tableColumn id="2" name="Total exportaciones_x000a_ a Colombia (US$ millones)" dataDxfId="664">
      <calculatedColumnFormula>'Import 05'!B2</calculatedColumnFormula>
    </tableColumn>
    <tableColumn id="3" name="Pib USA_x000a_ (US$ Billones)" dataDxfId="663"/>
    <tableColumn id="4" name="Porcentaje de _x000a_Exportaciones del PIB a Colombia" dataDxfId="662" dataCellStyle="Porcentaje">
      <calculatedColumnFormula>(B66/C66)/10000</calculatedColumnFormula>
    </tableColumn>
  </tableColumns>
  <tableStyleInfo name="TableStyleMedium14" showFirstColumn="0" showLastColumn="0" showRowStripes="1" showColumnStripes="0"/>
</table>
</file>

<file path=xl/tables/table73.xml><?xml version="1.0" encoding="utf-8"?>
<table xmlns="http://schemas.openxmlformats.org/spreadsheetml/2006/main" id="91" name="Tabla145223692" displayName="Tabla145223692" ref="A35:D60" totalsRowShown="0" headerRowDxfId="661" dataDxfId="659" headerRowBorderDxfId="660" tableBorderDxfId="658" totalsRowBorderDxfId="657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656"/>
    <tableColumn id="2" name="Total importaciones_x000a_ a Colombia (US$ millones)" dataDxfId="655">
      <calculatedColumnFormula>'Import 05'!B2</calculatedColumnFormula>
    </tableColumn>
    <tableColumn id="3" name="Pib Colombia a pesos corrientes_x000a_ (US$ miles de millones)" dataDxfId="654"/>
    <tableColumn id="4" name="Porcentaje de _x000a_Importaciones del PIB a Colombia" dataDxfId="653" dataCellStyle="Porcentaje">
      <calculatedColumnFormula>(B36/C36)/100</calculatedColumnFormula>
    </tableColumn>
  </tableColumns>
  <tableStyleInfo name="TableStyleMedium14" showFirstColumn="0" showLastColumn="0" showRowStripes="1" showColumnStripes="0"/>
</table>
</file>

<file path=xl/tables/table74.xml><?xml version="1.0" encoding="utf-8"?>
<table xmlns="http://schemas.openxmlformats.org/spreadsheetml/2006/main" id="92" name="Tabla1415233793" displayName="Tabla1415233793" ref="A95:D120" totalsRowShown="0" headerRowDxfId="652" dataDxfId="650" headerRowBorderDxfId="651" tableBorderDxfId="649" totalsRowBorderDxfId="648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647"/>
    <tableColumn id="2" name="Total importaciones a USA_x000a_ de Colombia (US$ millones)" dataDxfId="646">
      <calculatedColumnFormula>B7</calculatedColumnFormula>
    </tableColumn>
    <tableColumn id="3" name="Pib USA_x000a_ (US$ Billones)" dataDxfId="645"/>
    <tableColumn id="4" name="Porcentaje de _x000a_Importaciones del PIB en USA" dataDxfId="644" dataCellStyle="Porcentaje">
      <calculatedColumnFormula>(B96/C96)/10000</calculatedColumnFormula>
    </tableColumn>
  </tableColumns>
  <tableStyleInfo name="TableStyleMedium14" showFirstColumn="0" showLastColumn="0" showRowStripes="1" showColumnStripes="0"/>
</table>
</file>

<file path=xl/tables/table75.xml><?xml version="1.0" encoding="utf-8"?>
<table xmlns="http://schemas.openxmlformats.org/spreadsheetml/2006/main" id="93" name="Tabla116243894" displayName="Tabla116243894" ref="A124:D149" totalsRowShown="0" headerRowDxfId="643" dataDxfId="641" headerRowBorderDxfId="642" tableBorderDxfId="640" totalsRowBorderDxfId="639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638"/>
    <tableColumn id="2" name="Balanza Comercial Absoluta Colombia _x000a_( US$ millones)" dataDxfId="637">
      <calculatedColumnFormula>B7+B36</calculatedColumnFormula>
    </tableColumn>
    <tableColumn id="3" name="Pib Colombia a pesos corrientes_x000a_ (US$ miles de millones)" dataDxfId="636"/>
    <tableColumn id="4" name="Porcentaje de _x000a_Intercambio Comercial del PIB Colombia" dataDxfId="635" dataCellStyle="Porcentaje">
      <calculatedColumnFormula>(B125/C125)/100</calculatedColumnFormula>
    </tableColumn>
  </tableColumns>
  <tableStyleInfo name="TableStyleMedium14" showFirstColumn="0" showLastColumn="0" showRowStripes="1" showColumnStripes="0"/>
</table>
</file>

<file path=xl/tables/table76.xml><?xml version="1.0" encoding="utf-8"?>
<table xmlns="http://schemas.openxmlformats.org/spreadsheetml/2006/main" id="94" name="Tabla11617253995" displayName="Tabla11617253995" ref="A153:D178" totalsRowShown="0" headerRowDxfId="634" dataDxfId="632" headerRowBorderDxfId="633" tableBorderDxfId="631" totalsRowBorderDxfId="630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629"/>
    <tableColumn id="2" name="Balanza Comercial Absoluta USA_x000a_(US$ millones)" dataDxfId="628">
      <calculatedColumnFormula>B125</calculatedColumnFormula>
    </tableColumn>
    <tableColumn id="3" name="Pib USA_x000a_ (US$ Billones)" dataDxfId="627"/>
    <tableColumn id="4" name="Porcentaje de _x000a_Intercambio Comercial del PIB USA" dataDxfId="626" dataCellStyle="Porcentaje">
      <calculatedColumnFormula>(B154/C154)/10000</calculatedColumnFormula>
    </tableColumn>
  </tableColumns>
  <tableStyleInfo name="TableStyleMedium14" showFirstColumn="0" showLastColumn="0" showRowStripes="1" showColumnStripes="0"/>
</table>
</file>

<file path=xl/tables/table77.xml><?xml version="1.0" encoding="utf-8"?>
<table xmlns="http://schemas.openxmlformats.org/spreadsheetml/2006/main" id="95" name="Tabla11619264096" displayName="Tabla11619264096" ref="A183:E208" totalsRowShown="0" headerRowDxfId="625" dataDxfId="623" headerRowBorderDxfId="624" tableBorderDxfId="622" totalsRowBorderDxfId="621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620"/>
    <tableColumn id="2" name="Balanza Comercial Absoluta Colombia _x000a_(US$ millones)" dataDxfId="619">
      <calculatedColumnFormula>B154</calculatedColumnFormula>
    </tableColumn>
    <tableColumn id="5" name="Balanza Comercial Absoluta Colombia _x000a_(US$ millones)/2" dataDxfId="618">
      <calculatedColumnFormula>Tabla11619264096[[#This Row],[Balanza Comercial Absoluta Colombia 
(US$ millones)]]/2</calculatedColumnFormula>
    </tableColumn>
    <tableColumn id="3" name="Pib Colombia a pesos corrientes_x000a_ (US$ miles de millones)" dataDxfId="617"/>
    <tableColumn id="4" name="Porcentaje de _x000a_Intercambio Comercial del PIB Colombia" dataDxfId="616" dataCellStyle="Porcentaje">
      <calculatedColumnFormula>C184/(D184*100)</calculatedColumnFormula>
    </tableColumn>
  </tableColumns>
  <tableStyleInfo name="TableStyleMedium14" showFirstColumn="0" showLastColumn="0" showRowStripes="1" showColumnStripes="0"/>
</table>
</file>

<file path=xl/tables/table78.xml><?xml version="1.0" encoding="utf-8"?>
<table xmlns="http://schemas.openxmlformats.org/spreadsheetml/2006/main" id="96" name="Tabla1161721274197" displayName="Tabla1161721274197" ref="A212:E237" totalsRowShown="0" headerRowDxfId="615" dataDxfId="613" headerRowBorderDxfId="614" tableBorderDxfId="612" totalsRowBorderDxfId="611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610"/>
    <tableColumn id="2" name="Balanza Comercial Absoluta USA_x000a_(US$ millones)" dataDxfId="609">
      <calculatedColumnFormula>B125</calculatedColumnFormula>
    </tableColumn>
    <tableColumn id="5" name="Balanza Comercial Absoluta USA_x000a_(US$ millones)/2" dataDxfId="608">
      <calculatedColumnFormula>Tabla1161721274197[[#This Row],[Balanza Comercial Absoluta USA
(US$ millones)]]/2</calculatedColumnFormula>
    </tableColumn>
    <tableColumn id="3" name="Pib USA_x000a_ (US$ Billones)" dataDxfId="607"/>
    <tableColumn id="4" name="Porcentaje de _x000a_Intercambio Comercial del PIB USA" dataDxfId="606" dataCellStyle="Porcentaje">
      <calculatedColumnFormula>(C213/D213)/10000</calculatedColumnFormula>
    </tableColumn>
  </tableColumns>
  <tableStyleInfo name="TableStyleMedium14" showFirstColumn="0" showLastColumn="0" showRowStripes="1" showColumnStripes="0"/>
</table>
</file>

<file path=xl/tables/table79.xml><?xml version="1.0" encoding="utf-8"?>
<table xmlns="http://schemas.openxmlformats.org/spreadsheetml/2006/main" id="97" name="Tabla19284298" displayName="Tabla19284298" ref="B5:E30" totalsRowShown="0" headerRowDxfId="605" dataDxfId="603" headerRowBorderDxfId="604" tableBorderDxfId="602" totalsRowBorderDxfId="601">
  <tableColumns count="4">
    <tableColumn id="1" name="Año" dataDxfId="600"/>
    <tableColumn id="2" name="Total exportaciones_x000a_ a USA (US$ millones)" dataDxfId="599">
      <calculatedColumnFormula>'Export 05'!B2</calculatedColumnFormula>
    </tableColumn>
    <tableColumn id="3" name="Total exportaciones_x000a_ Mundo (US$ trillones)" dataDxfId="598"/>
    <tableColumn id="4" name="Porcentaje de _x000a_Exportaciones del PIB a USA" dataDxfId="597" dataCellStyle="Porcentaje">
      <calculatedColumnFormula>(C6/D6)/100000000000</calculatedColumnFormula>
    </tableColumn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26" name="Tabla116172127" displayName="Tabla116172127" ref="A212:E237" totalsRowShown="0" headerRowDxfId="1285" dataDxfId="1283" headerRowBorderDxfId="1284" tableBorderDxfId="1282" totalsRowBorderDxfId="1281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1280"/>
    <tableColumn id="2" name="Balanza Comercial Absoluta USA_x000a_(Precio CIF, US$ millones)" dataDxfId="1279"/>
    <tableColumn id="5" name="Balanza Comercial Absoluta USA_x000a_(Precio CIF, US$ millones)/2" dataDxfId="1278"/>
    <tableColumn id="3" name="Pib USA_x000a_ (US$ Billones)" dataDxfId="1277"/>
    <tableColumn id="4" name="Porcentaje de _x000a_Intercambio Comercial del PIB USA" dataDxfId="1276" dataCellStyle="Porcentaje">
      <calculatedColumnFormula>(C213/D213)/100000</calculatedColumnFormula>
    </tableColumn>
  </tableColumns>
  <tableStyleInfo name="TableStyleMedium14" showFirstColumn="0" showLastColumn="0" showRowStripes="1" showColumnStripes="0"/>
</table>
</file>

<file path=xl/tables/table80.xml><?xml version="1.0" encoding="utf-8"?>
<table xmlns="http://schemas.openxmlformats.org/spreadsheetml/2006/main" id="98" name="Tabla1910294399" displayName="Tabla1910294399" ref="B36:E61" totalsRowShown="0" headerRowDxfId="596" dataDxfId="594" headerRowBorderDxfId="595" tableBorderDxfId="593" totalsRowBorderDxfId="592">
  <tableColumns count="4">
    <tableColumn id="1" name="Año" dataDxfId="591"/>
    <tableColumn id="2" name="Total importaciones_x000a_ de USA (US$ millones)" dataDxfId="590">
      <calculatedColumnFormula>' Per Cápita 05'!B36</calculatedColumnFormula>
    </tableColumn>
    <tableColumn id="3" name="Total exportaciones_x000a_ Mundo (US$ trillones)" dataDxfId="589"/>
    <tableColumn id="4" name="Porcentaje de _x000a_importaciones del PIB de USA" dataDxfId="588" dataCellStyle="Porcentaje">
      <calculatedColumnFormula>(C37/D37)/1000000000</calculatedColumnFormula>
    </tableColumn>
  </tableColumns>
  <tableStyleInfo name="TableStyleMedium14" showFirstColumn="0" showLastColumn="0" showRowStripes="1" showColumnStripes="0"/>
</table>
</file>

<file path=xl/tables/table81.xml><?xml version="1.0" encoding="utf-8"?>
<table xmlns="http://schemas.openxmlformats.org/spreadsheetml/2006/main" id="99" name="Tabla1910113044100" displayName="Tabla1910113044100" ref="B67:E92" totalsRowShown="0" headerRowDxfId="587" dataDxfId="585" headerRowBorderDxfId="586" tableBorderDxfId="584" totalsRowBorderDxfId="583">
  <tableColumns count="4">
    <tableColumn id="1" name="Año" dataDxfId="582"/>
    <tableColumn id="2" name="Total Intercambio Comercial de Colombia (US$ millones)" dataDxfId="581">
      <calculatedColumnFormula>' Per Cápita 05'!B65</calculatedColumnFormula>
    </tableColumn>
    <tableColumn id="3" name="Total exportaciones + importaciones_x000a_ Mundo (US$ trillones)" dataDxfId="580">
      <calculatedColumnFormula>D37*2</calculatedColumnFormula>
    </tableColumn>
    <tableColumn id="4" name="Porcentaje de _x000a_Intercambio Comercial Colombia" dataDxfId="579" dataCellStyle="Porcentaje">
      <calculatedColumnFormula>(C68/D68)/100000000</calculatedColumnFormula>
    </tableColumn>
  </tableColumns>
  <tableStyleInfo name="TableStyleMedium14" showFirstColumn="0" showLastColumn="0" showRowStripes="1" showColumnStripes="0"/>
</table>
</file>

<file path=xl/tables/table82.xml><?xml version="1.0" encoding="utf-8"?>
<table xmlns="http://schemas.openxmlformats.org/spreadsheetml/2006/main" id="100" name="Tabla191011133145101" displayName="Tabla191011133145101" ref="A4:F29" totalsRowShown="0" headerRowDxfId="578" dataDxfId="576" headerRowBorderDxfId="577" tableBorderDxfId="575" totalsRowBorderDxfId="574">
  <tableColumns count="6">
    <tableColumn id="1" name="Año" dataDxfId="573"/>
    <tableColumn id="2" name="Total Balanza Comercial de Colombia (US$ millones)" dataDxfId="572">
      <calculatedColumnFormula>'Balanza c 05'!B2</calculatedColumnFormula>
    </tableColumn>
    <tableColumn id="5" name="Total exportaciones de Colombia hacia el mundo_x000a_  (US$ millones FOB)" dataDxfId="571"/>
    <tableColumn id="6" name="Importaciones de Colombia_x000a_Precio (US$ miles)" dataDxfId="570"/>
    <tableColumn id="3" name="Total Importaciones Colombia (US$millones CIF)" dataDxfId="569"/>
    <tableColumn id="4" name="VCR" dataDxfId="568" dataCellStyle="Porcentaje">
      <calculatedColumnFormula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calculatedColumnFormula>
    </tableColumn>
  </tableColumns>
  <tableStyleInfo name="TableStyleMedium14" showFirstColumn="0" showLastColumn="0" showRowStripes="1" showColumnStripes="0"/>
</table>
</file>

<file path=xl/tables/table83.xml><?xml version="1.0" encoding="utf-8"?>
<table xmlns="http://schemas.openxmlformats.org/spreadsheetml/2006/main" id="101" name="Tabla19101113143246102" displayName="Tabla19101113143246102" ref="A33:G58" totalsRowShown="0" headerRowDxfId="567" dataDxfId="565" headerRowBorderDxfId="566" tableBorderDxfId="564" totalsRowBorderDxfId="563">
  <tableColumns count="7">
    <tableColumn id="1" name="Año" dataDxfId="562"/>
    <tableColumn id="2" name="Total exportaciones del grupo_x000a_ a USA (US$ millones)" dataDxfId="561">
      <calculatedColumnFormula>'Participación Mundial 05'!C6</calculatedColumnFormula>
    </tableColumn>
    <tableColumn id="17" name="Total exportaciones_x000a_ a USA (US$ miles)" dataDxfId="560"/>
    <tableColumn id="5" name="Total exportaciones del grupo hacia el mundo (US$ millones)" dataDxfId="559" dataCellStyle="Moneda"/>
    <tableColumn id="3" name="Total exportaciones de Colombia hacia el mundo_x000a_  (US$ Billones)" dataDxfId="558"/>
    <tableColumn id="4" name="Indice de Balassa" dataDxfId="557" dataCellStyle="Porcentaje">
      <calculatedColumnFormula>((Tabla19101113143246102[[#This Row],[Total exportaciones del grupo
 a USA (US$ millones)]]*1000)/(Tabla19101113143246102[[#This Row],[Total exportaciones
 a USA (US$ miles)]])/((D34/1000)/E34))</calculatedColumnFormula>
    </tableColumn>
    <tableColumn id="7" name="Interpretación" dataDxfId="556">
      <calculatedColumnFormula>IF(Tabla19101113143246102[[#This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84.xml><?xml version="1.0" encoding="utf-8"?>
<table xmlns="http://schemas.openxmlformats.org/spreadsheetml/2006/main" id="102" name="Tabla1910111314123347103" displayName="Tabla1910111314123347103" ref="A62:E87" totalsRowShown="0" headerRowDxfId="555" dataDxfId="553" headerRowBorderDxfId="554" tableBorderDxfId="552" totalsRowBorderDxfId="551">
  <tableColumns count="5">
    <tableColumn id="1" name="Año" dataDxfId="550"/>
    <tableColumn id="2" name="Balanza Comercial Colombia _x000a_( US$ millones)" dataDxfId="549">
      <calculatedColumnFormula>'Balanza c 05'!B2</calculatedColumnFormula>
    </tableColumn>
    <tableColumn id="17" name="Balanza Comercial Absoluta Colombia _x000a_(US$ millones)" dataDxfId="548">
      <calculatedColumnFormula>'Apertura 05'!B184</calculatedColumnFormula>
    </tableColumn>
    <tableColumn id="4" name="IGLL" dataDxfId="547" dataCellStyle="Porcentaje">
      <calculatedColumnFormula>1-(Tabla1910111314123347103[[#This Row],[Balanza Comercial Colombia 
( US$ millones)]]/Tabla1910111314123347103[[#This Row],[Balanza Comercial Absoluta Colombia 
(US$ millones)]])</calculatedColumnFormula>
    </tableColumn>
    <tableColumn id="7" name="Interpretación" dataDxfId="546">
      <calculatedColumnFormula>IF(D63&gt;0.1&lt;0.33,"POTENCIAL CMRCIO INT",IF(D63&gt;0.33,"INDICIOS DE CMRCIO INT",IF(D63&lt;0.1,"REL. INTERINDUSTRIALES")))</calculatedColumnFormula>
    </tableColumn>
  </tableColumns>
  <tableStyleInfo name="TableStyleMedium14" showFirstColumn="0" showLastColumn="0" showRowStripes="1" showColumnStripes="0"/>
</table>
</file>

<file path=xl/tables/table85.xml><?xml version="1.0" encoding="utf-8"?>
<table xmlns="http://schemas.openxmlformats.org/spreadsheetml/2006/main" id="103" name="Tabla11834104" displayName="Tabla11834104" ref="A6:D31" totalsRowShown="0" headerRowDxfId="545" dataDxfId="543" headerRowBorderDxfId="544" tableBorderDxfId="542" totalsRowBorderDxfId="541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540"/>
    <tableColumn id="2" name="Total exportaciones_x000a_ a USA (US$ millones)" dataDxfId="539">
      <calculatedColumnFormula>'Export 06'!B2</calculatedColumnFormula>
    </tableColumn>
    <tableColumn id="3" name="Pib Colombia a pesos corrientes_x000a_ (US$ miles de millones)" dataDxfId="538"/>
    <tableColumn id="4" name="Porcentaje de _x000a_Exportaciones del PIB a USA" dataDxfId="537" dataCellStyle="Porcentaje">
      <calculatedColumnFormula>B7/(C7*100)</calculatedColumnFormula>
    </tableColumn>
  </tableColumns>
  <tableStyleInfo name="TableStyleMedium14" showFirstColumn="0" showLastColumn="0" showRowStripes="1" showColumnStripes="0"/>
</table>
</file>

<file path=xl/tables/table86.xml><?xml version="1.0" encoding="utf-8"?>
<table xmlns="http://schemas.openxmlformats.org/spreadsheetml/2006/main" id="104" name="Tabla142035105" displayName="Tabla142035105" ref="A65:D90" totalsRowShown="0" headerRowDxfId="536" dataDxfId="534" headerRowBorderDxfId="535" tableBorderDxfId="533" totalsRowBorderDxfId="532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531"/>
    <tableColumn id="2" name="Total exportaciones_x000a_ a Colombia (US$ millones)" dataDxfId="530">
      <calculatedColumnFormula>'Import 06'!B2</calculatedColumnFormula>
    </tableColumn>
    <tableColumn id="3" name="Pib USA_x000a_ (US$ Billones)" dataDxfId="529"/>
    <tableColumn id="4" name="Porcentaje de _x000a_Exportaciones del PIB a Colombia" dataDxfId="528" dataCellStyle="Porcentaje">
      <calculatedColumnFormula>(B66/C66)/10000</calculatedColumnFormula>
    </tableColumn>
  </tableColumns>
  <tableStyleInfo name="TableStyleMedium14" showFirstColumn="0" showLastColumn="0" showRowStripes="1" showColumnStripes="0"/>
</table>
</file>

<file path=xl/tables/table87.xml><?xml version="1.0" encoding="utf-8"?>
<table xmlns="http://schemas.openxmlformats.org/spreadsheetml/2006/main" id="105" name="Tabla1452236106" displayName="Tabla1452236106" ref="A35:D60" totalsRowShown="0" headerRowDxfId="527" dataDxfId="525" headerRowBorderDxfId="526" tableBorderDxfId="524" totalsRowBorderDxfId="523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522"/>
    <tableColumn id="2" name="Total importaciones_x000a_ a Colombia (US$ millones)" dataDxfId="521">
      <calculatedColumnFormula>'Import 06'!B2</calculatedColumnFormula>
    </tableColumn>
    <tableColumn id="3" name="Pib Colombia a pesos corrientes_x000a_ (US$ miles de millones)" dataDxfId="520"/>
    <tableColumn id="4" name="Porcentaje de _x000a_Importaciones del PIB a Colombia" dataDxfId="519" dataCellStyle="Porcentaje">
      <calculatedColumnFormula>(B36/C36)/100</calculatedColumnFormula>
    </tableColumn>
  </tableColumns>
  <tableStyleInfo name="TableStyleMedium14" showFirstColumn="0" showLastColumn="0" showRowStripes="1" showColumnStripes="0"/>
</table>
</file>

<file path=xl/tables/table88.xml><?xml version="1.0" encoding="utf-8"?>
<table xmlns="http://schemas.openxmlformats.org/spreadsheetml/2006/main" id="106" name="Tabla14152337107" displayName="Tabla14152337107" ref="A95:D120" totalsRowShown="0" headerRowDxfId="518" dataDxfId="516" headerRowBorderDxfId="517" tableBorderDxfId="515" totalsRowBorderDxfId="514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513"/>
    <tableColumn id="2" name="Total importaciones a USA_x000a_ de Colombia (US$ millones)" dataDxfId="512">
      <calculatedColumnFormula>B7</calculatedColumnFormula>
    </tableColumn>
    <tableColumn id="3" name="Pib USA_x000a_ (US$ Billones)" dataDxfId="511"/>
    <tableColumn id="4" name="Porcentaje de _x000a_Importaciones del PIB en USA" dataDxfId="510" dataCellStyle="Porcentaje">
      <calculatedColumnFormula>(B96/C96)/10000</calculatedColumnFormula>
    </tableColumn>
  </tableColumns>
  <tableStyleInfo name="TableStyleMedium14" showFirstColumn="0" showLastColumn="0" showRowStripes="1" showColumnStripes="0"/>
</table>
</file>

<file path=xl/tables/table89.xml><?xml version="1.0" encoding="utf-8"?>
<table xmlns="http://schemas.openxmlformats.org/spreadsheetml/2006/main" id="107" name="Tabla1162438108" displayName="Tabla1162438108" ref="A124:D149" totalsRowShown="0" headerRowDxfId="509" dataDxfId="507" headerRowBorderDxfId="508" tableBorderDxfId="506" totalsRowBorderDxfId="505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504"/>
    <tableColumn id="2" name="Balanza Comercial Absoluta Colombia _x000a_( US$ millones)" dataDxfId="503">
      <calculatedColumnFormula>B7+B36</calculatedColumnFormula>
    </tableColumn>
    <tableColumn id="3" name="Pib Colombia a pesos corrientes_x000a_ (US$ miles de millones)" dataDxfId="502"/>
    <tableColumn id="4" name="Porcentaje de _x000a_Intercambio Comercial del PIB Colombia" dataDxfId="501" dataCellStyle="Porcentaje">
      <calculatedColumnFormula>(B125/C125)/100</calculatedColumnFormula>
    </tableColumn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id="27" name="Tabla1928" displayName="Tabla1928" ref="B5:E30" totalsRowShown="0" headerRowDxfId="1275" dataDxfId="1273" headerRowBorderDxfId="1274" tableBorderDxfId="1272" totalsRowBorderDxfId="1271">
  <tableColumns count="4">
    <tableColumn id="1" name="Año" dataDxfId="1270"/>
    <tableColumn id="2" name="Total exportaciones_x000a_ a USA (US$ miles)" dataDxfId="1269"/>
    <tableColumn id="3" name="Total exportaciones_x000a_ Mundo (US$ trillones)" dataDxfId="1268"/>
    <tableColumn id="4" name="Porcentaje de _x000a_Exportaciones del PIB a USA" dataDxfId="1267" dataCellStyle="Porcentaje">
      <calculatedColumnFormula>(C6/D6)/1000000000</calculatedColumnFormula>
    </tableColumn>
  </tableColumns>
  <tableStyleInfo name="TableStyleMedium14" showFirstColumn="0" showLastColumn="0" showRowStripes="1" showColumnStripes="0"/>
</table>
</file>

<file path=xl/tables/table90.xml><?xml version="1.0" encoding="utf-8"?>
<table xmlns="http://schemas.openxmlformats.org/spreadsheetml/2006/main" id="108" name="Tabla116172539109" displayName="Tabla116172539109" ref="A153:D178" totalsRowShown="0" headerRowDxfId="500" dataDxfId="498" headerRowBorderDxfId="499" tableBorderDxfId="497" totalsRowBorderDxfId="496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495"/>
    <tableColumn id="2" name="Balanza Comercial Absoluta USA_x000a_(US$ millones)" dataDxfId="494">
      <calculatedColumnFormula>B125</calculatedColumnFormula>
    </tableColumn>
    <tableColumn id="3" name="Pib USA_x000a_ (US$ Billones)" dataDxfId="493"/>
    <tableColumn id="4" name="Porcentaje de _x000a_Intercambio Comercial del PIB USA" dataDxfId="492" dataCellStyle="Porcentaje">
      <calculatedColumnFormula>(B154/C154)/10000</calculatedColumnFormula>
    </tableColumn>
  </tableColumns>
  <tableStyleInfo name="TableStyleMedium14" showFirstColumn="0" showLastColumn="0" showRowStripes="1" showColumnStripes="0"/>
</table>
</file>

<file path=xl/tables/table91.xml><?xml version="1.0" encoding="utf-8"?>
<table xmlns="http://schemas.openxmlformats.org/spreadsheetml/2006/main" id="109" name="Tabla116192640110" displayName="Tabla116192640110" ref="A183:E208" totalsRowShown="0" headerRowDxfId="491" dataDxfId="489" headerRowBorderDxfId="490" tableBorderDxfId="488" totalsRowBorderDxfId="487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486"/>
    <tableColumn id="2" name="Balanza Comercial Absoluta Colombia _x000a_(US$ millones)" dataDxfId="485">
      <calculatedColumnFormula>B154</calculatedColumnFormula>
    </tableColumn>
    <tableColumn id="5" name="Balanza Comercial Absoluta Colombia _x000a_(US$ millones)/2" dataDxfId="484">
      <calculatedColumnFormula>Tabla116192640110[[#This Row],[Balanza Comercial Absoluta Colombia 
(US$ millones)]]/2</calculatedColumnFormula>
    </tableColumn>
    <tableColumn id="3" name="Pib Colombia a pesos corrientes_x000a_ (US$ miles de millones)" dataDxfId="483"/>
    <tableColumn id="4" name="Porcentaje de _x000a_Intercambio Comercial del PIB Colombia" dataDxfId="482" dataCellStyle="Porcentaje">
      <calculatedColumnFormula>C184/(D184*100)</calculatedColumnFormula>
    </tableColumn>
  </tableColumns>
  <tableStyleInfo name="TableStyleMedium14" showFirstColumn="0" showLastColumn="0" showRowStripes="1" showColumnStripes="0"/>
</table>
</file>

<file path=xl/tables/table92.xml><?xml version="1.0" encoding="utf-8"?>
<table xmlns="http://schemas.openxmlformats.org/spreadsheetml/2006/main" id="110" name="Tabla11617212741111" displayName="Tabla11617212741111" ref="A212:E237" totalsRowShown="0" headerRowDxfId="481" dataDxfId="479" headerRowBorderDxfId="480" tableBorderDxfId="478" totalsRowBorderDxfId="477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476"/>
    <tableColumn id="2" name="Balanza Comercial Absoluta USA_x000a_(US$ millones)" dataDxfId="475">
      <calculatedColumnFormula>B125</calculatedColumnFormula>
    </tableColumn>
    <tableColumn id="5" name="Balanza Comercial Absoluta USA_x000a_(US$ millones)/2" dataDxfId="474">
      <calculatedColumnFormula>Tabla11617212741111[[#This Row],[Balanza Comercial Absoluta USA
(US$ millones)]]/2</calculatedColumnFormula>
    </tableColumn>
    <tableColumn id="3" name="Pib USA_x000a_ (US$ Billones)" dataDxfId="473"/>
    <tableColumn id="4" name="Porcentaje de _x000a_Intercambio Comercial del PIB USA" dataDxfId="472" dataCellStyle="Porcentaje">
      <calculatedColumnFormula>(C213/D213)/10000</calculatedColumnFormula>
    </tableColumn>
  </tableColumns>
  <tableStyleInfo name="TableStyleMedium14" showFirstColumn="0" showLastColumn="0" showRowStripes="1" showColumnStripes="0"/>
</table>
</file>

<file path=xl/tables/table93.xml><?xml version="1.0" encoding="utf-8"?>
<table xmlns="http://schemas.openxmlformats.org/spreadsheetml/2006/main" id="111" name="Tabla192842112" displayName="Tabla192842112" ref="B5:E30" totalsRowShown="0" headerRowDxfId="471" dataDxfId="469" headerRowBorderDxfId="470" tableBorderDxfId="468" totalsRowBorderDxfId="467">
  <tableColumns count="4">
    <tableColumn id="1" name="Año" dataDxfId="466"/>
    <tableColumn id="2" name="Total exportaciones_x000a_ a USA (US$ millones)" dataDxfId="465">
      <calculatedColumnFormula>'Export 06'!B2</calculatedColumnFormula>
    </tableColumn>
    <tableColumn id="3" name="Total exportaciones_x000a_ Mundo (US$ trillones)" dataDxfId="464"/>
    <tableColumn id="4" name="Porcentaje de _x000a_Exportaciones del PIB a USA" dataDxfId="463" dataCellStyle="Porcentaje">
      <calculatedColumnFormula>(C6/D6)/100000000000</calculatedColumnFormula>
    </tableColumn>
  </tableColumns>
  <tableStyleInfo name="TableStyleMedium14" showFirstColumn="0" showLastColumn="0" showRowStripes="1" showColumnStripes="0"/>
</table>
</file>

<file path=xl/tables/table94.xml><?xml version="1.0" encoding="utf-8"?>
<table xmlns="http://schemas.openxmlformats.org/spreadsheetml/2006/main" id="112" name="Tabla19102943113" displayName="Tabla19102943113" ref="B36:E61" totalsRowShown="0" headerRowDxfId="462" dataDxfId="460" headerRowBorderDxfId="461" tableBorderDxfId="459" totalsRowBorderDxfId="458">
  <tableColumns count="4">
    <tableColumn id="1" name="Año" dataDxfId="457"/>
    <tableColumn id="2" name="Total importaciones_x000a_ de USA (US$ millones)" dataDxfId="456">
      <calculatedColumnFormula>' Per Cápita 06'!B36</calculatedColumnFormula>
    </tableColumn>
    <tableColumn id="3" name="Total exportaciones_x000a_ Mundo (US$ trillones)" dataDxfId="455"/>
    <tableColumn id="4" name="Porcentaje de _x000a_importaciones del PIB de USA" dataDxfId="454" dataCellStyle="Porcentaje">
      <calculatedColumnFormula>(C37/D37)/1000000000</calculatedColumnFormula>
    </tableColumn>
  </tableColumns>
  <tableStyleInfo name="TableStyleMedium14" showFirstColumn="0" showLastColumn="0" showRowStripes="1" showColumnStripes="0"/>
</table>
</file>

<file path=xl/tables/table95.xml><?xml version="1.0" encoding="utf-8"?>
<table xmlns="http://schemas.openxmlformats.org/spreadsheetml/2006/main" id="113" name="Tabla1910113044114" displayName="Tabla1910113044114" ref="B67:E92" totalsRowShown="0" headerRowDxfId="453" dataDxfId="451" headerRowBorderDxfId="452" tableBorderDxfId="450" totalsRowBorderDxfId="449">
  <tableColumns count="4">
    <tableColumn id="1" name="Año" dataDxfId="448"/>
    <tableColumn id="2" name="Total Intercambio Comercial de Colombia (US$ millones)" dataDxfId="447">
      <calculatedColumnFormula>' Per Cápita 06'!B65</calculatedColumnFormula>
    </tableColumn>
    <tableColumn id="3" name="Total exportaciones + importaciones_x000a_ Mundo (US$ trillones)" dataDxfId="446">
      <calculatedColumnFormula>D37*2</calculatedColumnFormula>
    </tableColumn>
    <tableColumn id="4" name="Porcentaje de _x000a_Intercambio Comercial Colombia" dataDxfId="445" dataCellStyle="Porcentaje">
      <calculatedColumnFormula>(C68/D68)/100000000</calculatedColumnFormula>
    </tableColumn>
  </tableColumns>
  <tableStyleInfo name="TableStyleMedium14" showFirstColumn="0" showLastColumn="0" showRowStripes="1" showColumnStripes="0"/>
</table>
</file>

<file path=xl/tables/table96.xml><?xml version="1.0" encoding="utf-8"?>
<table xmlns="http://schemas.openxmlformats.org/spreadsheetml/2006/main" id="114" name="Tabla191011133145115" displayName="Tabla191011133145115" ref="A4:F29" totalsRowShown="0" headerRowDxfId="444" dataDxfId="442" headerRowBorderDxfId="443" tableBorderDxfId="441" totalsRowBorderDxfId="440">
  <tableColumns count="6">
    <tableColumn id="1" name="Año" dataDxfId="439"/>
    <tableColumn id="2" name="Total Balanza Comercial de Colombia (US$ millones)" dataDxfId="438">
      <calculatedColumnFormula>'Balanza c 06'!B2</calculatedColumnFormula>
    </tableColumn>
    <tableColumn id="5" name="Total exportaciones de Colombia hacia el mundo_x000a_  (US$ millones FOB)" dataDxfId="437"/>
    <tableColumn id="6" name="Importaciones de Colombia_x000a_Precio (US$ miles)" dataDxfId="436"/>
    <tableColumn id="3" name="Total Importaciones Colombia (US$millones CIF)" dataDxfId="435"/>
    <tableColumn id="4" name="VCR" dataDxfId="434" dataCellStyle="Porcentaje">
      <calculatedColumnFormula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calculatedColumnFormula>
    </tableColumn>
  </tableColumns>
  <tableStyleInfo name="TableStyleMedium14" showFirstColumn="0" showLastColumn="0" showRowStripes="1" showColumnStripes="0"/>
</table>
</file>

<file path=xl/tables/table97.xml><?xml version="1.0" encoding="utf-8"?>
<table xmlns="http://schemas.openxmlformats.org/spreadsheetml/2006/main" id="115" name="Tabla19101113143246116" displayName="Tabla19101113143246116" ref="A33:G58" totalsRowShown="0" headerRowDxfId="433" dataDxfId="431" headerRowBorderDxfId="432" tableBorderDxfId="430" totalsRowBorderDxfId="429">
  <tableColumns count="7">
    <tableColumn id="1" name="Año" dataDxfId="428"/>
    <tableColumn id="2" name="Total exportaciones del grupo_x000a_ a USA (US$ millones)" dataDxfId="427">
      <calculatedColumnFormula>'Participación Mundial 06'!C6</calculatedColumnFormula>
    </tableColumn>
    <tableColumn id="17" name="Total exportaciones_x000a_ a USA (US$ miles)" dataDxfId="426"/>
    <tableColumn id="5" name="Total exportaciones del grupo hacia el mundo (US$ millones)" dataDxfId="425" dataCellStyle="Moneda"/>
    <tableColumn id="3" name="Total exportaciones de Colombia hacia el mundo_x000a_  (US$ Billones)" dataDxfId="424"/>
    <tableColumn id="4" name="Indice de Balassa" dataDxfId="423" dataCellStyle="Porcentaje">
      <calculatedColumnFormula>((Tabla19101113143246116[[#This Row],[Total exportaciones del grupo
 a USA (US$ millones)]]*1000)/(Tabla19101113143246116[[#This Row],[Total exportaciones
 a USA (US$ miles)]])/((D34/1000/E34)))</calculatedColumnFormula>
    </tableColumn>
    <tableColumn id="7" name="Interpretación" dataDxfId="422">
      <calculatedColumnFormula>IF(Tabla19101113143246116[[#This Row],[Indice de Balassa]]&gt;0.33,"VENTAJA","NO VENTAJA")</calculatedColumnFormula>
    </tableColumn>
  </tableColumns>
  <tableStyleInfo name="TableStyleMedium14" showFirstColumn="0" showLastColumn="0" showRowStripes="1" showColumnStripes="0"/>
</table>
</file>

<file path=xl/tables/table98.xml><?xml version="1.0" encoding="utf-8"?>
<table xmlns="http://schemas.openxmlformats.org/spreadsheetml/2006/main" id="116" name="Tabla1910111314123347117" displayName="Tabla1910111314123347117" ref="A62:E87" totalsRowShown="0" headerRowDxfId="421" dataDxfId="419" headerRowBorderDxfId="420" tableBorderDxfId="418" totalsRowBorderDxfId="417">
  <tableColumns count="5">
    <tableColumn id="1" name="Año" dataDxfId="416"/>
    <tableColumn id="2" name="Balanza Comercial Colombia _x000a_( US$ millones)" dataDxfId="415">
      <calculatedColumnFormula>'Balanza c 06'!B2</calculatedColumnFormula>
    </tableColumn>
    <tableColumn id="17" name="Balanza Comercial Absoluta Colombia _x000a_(US$ millones)" dataDxfId="414">
      <calculatedColumnFormula>'Apertura 06'!B184</calculatedColumnFormula>
    </tableColumn>
    <tableColumn id="4" name="IGLL" dataDxfId="413" dataCellStyle="Porcentaje">
      <calculatedColumnFormula>1-(Tabla1910111314123347117[[#This Row],[Balanza Comercial Colombia 
( US$ millones)]]/Tabla1910111314123347117[[#This Row],[Balanza Comercial Absoluta Colombia 
(US$ millones)]])</calculatedColumnFormula>
    </tableColumn>
    <tableColumn id="7" name="Interpretación" dataDxfId="412">
      <calculatedColumnFormula>IF(D63&gt;0.1&lt;0.33,"POTENCIAL CMRCIO INT",IF(D63&gt;0.33,"INDICIOS DE CMRCIO INT",IF(D63&lt;0.1,"REL. INTERINDUSTRIALES")))</calculatedColumnFormula>
    </tableColumn>
  </tableColumns>
  <tableStyleInfo name="TableStyleMedium14" showFirstColumn="0" showLastColumn="0" showRowStripes="1" showColumnStripes="0"/>
</table>
</file>

<file path=xl/tables/table99.xml><?xml version="1.0" encoding="utf-8"?>
<table xmlns="http://schemas.openxmlformats.org/spreadsheetml/2006/main" id="117" name="Tabla11834118" displayName="Tabla11834118" ref="A6:D31" totalsRowShown="0" headerRowDxfId="411" dataDxfId="409" headerRowBorderDxfId="410" tableBorderDxfId="408" totalsRowBorderDxfId="407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406"/>
    <tableColumn id="2" name="Total exportaciones_x000a_ a USA (US$ millones)" dataDxfId="405">
      <calculatedColumnFormula>'Export 07'!B2</calculatedColumnFormula>
    </tableColumn>
    <tableColumn id="3" name="Pib Colombia a pesos corrientes_x000a_ (US$ miles de millones)" dataDxfId="404"/>
    <tableColumn id="4" name="Porcentaje de _x000a_Exportaciones del PIB a USA" dataDxfId="403" dataCellStyle="Porcentaje">
      <calculatedColumnFormula>B7/(C7*100)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4.xml"/><Relationship Id="rId3" Type="http://schemas.openxmlformats.org/officeDocument/2006/relationships/table" Target="../tables/table29.xml"/><Relationship Id="rId7" Type="http://schemas.openxmlformats.org/officeDocument/2006/relationships/table" Target="../tables/table33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2.xml"/><Relationship Id="rId5" Type="http://schemas.openxmlformats.org/officeDocument/2006/relationships/table" Target="../tables/table31.xml"/><Relationship Id="rId10" Type="http://schemas.openxmlformats.org/officeDocument/2006/relationships/table" Target="../tables/table36.xml"/><Relationship Id="rId4" Type="http://schemas.openxmlformats.org/officeDocument/2006/relationships/table" Target="../tables/table30.xml"/><Relationship Id="rId9" Type="http://schemas.openxmlformats.org/officeDocument/2006/relationships/table" Target="../tables/table3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1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53.xml"/><Relationship Id="rId4" Type="http://schemas.openxmlformats.org/officeDocument/2006/relationships/table" Target="../tables/table5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56.xml"/><Relationship Id="rId4" Type="http://schemas.openxmlformats.org/officeDocument/2006/relationships/table" Target="../tables/table5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2.xml"/><Relationship Id="rId3" Type="http://schemas.openxmlformats.org/officeDocument/2006/relationships/table" Target="../tables/table57.xml"/><Relationship Id="rId7" Type="http://schemas.openxmlformats.org/officeDocument/2006/relationships/table" Target="../tables/table61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60.xml"/><Relationship Id="rId5" Type="http://schemas.openxmlformats.org/officeDocument/2006/relationships/table" Target="../tables/table59.xml"/><Relationship Id="rId10" Type="http://schemas.openxmlformats.org/officeDocument/2006/relationships/table" Target="../tables/table64.xml"/><Relationship Id="rId4" Type="http://schemas.openxmlformats.org/officeDocument/2006/relationships/table" Target="../tables/table58.xml"/><Relationship Id="rId9" Type="http://schemas.openxmlformats.org/officeDocument/2006/relationships/table" Target="../tables/table6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5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4.bin"/><Relationship Id="rId5" Type="http://schemas.openxmlformats.org/officeDocument/2006/relationships/table" Target="../tables/table67.xml"/><Relationship Id="rId4" Type="http://schemas.openxmlformats.org/officeDocument/2006/relationships/table" Target="../tables/table6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5.bin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6.xml"/><Relationship Id="rId3" Type="http://schemas.openxmlformats.org/officeDocument/2006/relationships/table" Target="../tables/table71.xml"/><Relationship Id="rId7" Type="http://schemas.openxmlformats.org/officeDocument/2006/relationships/table" Target="../tables/table75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74.xml"/><Relationship Id="rId5" Type="http://schemas.openxmlformats.org/officeDocument/2006/relationships/table" Target="../tables/table73.xml"/><Relationship Id="rId10" Type="http://schemas.openxmlformats.org/officeDocument/2006/relationships/table" Target="../tables/table78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9.x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Relationship Id="rId5" Type="http://schemas.openxmlformats.org/officeDocument/2006/relationships/table" Target="../tables/table81.xml"/><Relationship Id="rId4" Type="http://schemas.openxmlformats.org/officeDocument/2006/relationships/table" Target="../tables/table80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2.x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Relationship Id="rId5" Type="http://schemas.openxmlformats.org/officeDocument/2006/relationships/table" Target="../tables/table84.xml"/><Relationship Id="rId4" Type="http://schemas.openxmlformats.org/officeDocument/2006/relationships/table" Target="../tables/table8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0.xml"/><Relationship Id="rId3" Type="http://schemas.openxmlformats.org/officeDocument/2006/relationships/table" Target="../tables/table85.xml"/><Relationship Id="rId7" Type="http://schemas.openxmlformats.org/officeDocument/2006/relationships/table" Target="../tables/table89.x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9.bin"/><Relationship Id="rId6" Type="http://schemas.openxmlformats.org/officeDocument/2006/relationships/table" Target="../tables/table88.xml"/><Relationship Id="rId5" Type="http://schemas.openxmlformats.org/officeDocument/2006/relationships/table" Target="../tables/table87.xml"/><Relationship Id="rId10" Type="http://schemas.openxmlformats.org/officeDocument/2006/relationships/table" Target="../tables/table92.xml"/><Relationship Id="rId4" Type="http://schemas.openxmlformats.org/officeDocument/2006/relationships/table" Target="../tables/table86.xml"/><Relationship Id="rId9" Type="http://schemas.openxmlformats.org/officeDocument/2006/relationships/table" Target="../tables/table91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3.x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0.bin"/><Relationship Id="rId5" Type="http://schemas.openxmlformats.org/officeDocument/2006/relationships/table" Target="../tables/table95.xml"/><Relationship Id="rId4" Type="http://schemas.openxmlformats.org/officeDocument/2006/relationships/table" Target="../tables/table94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6.x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1.bin"/><Relationship Id="rId5" Type="http://schemas.openxmlformats.org/officeDocument/2006/relationships/table" Target="../tables/table98.xml"/><Relationship Id="rId4" Type="http://schemas.openxmlformats.org/officeDocument/2006/relationships/table" Target="../tables/table97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4.xml"/><Relationship Id="rId3" Type="http://schemas.openxmlformats.org/officeDocument/2006/relationships/table" Target="../tables/table99.xml"/><Relationship Id="rId7" Type="http://schemas.openxmlformats.org/officeDocument/2006/relationships/table" Target="../tables/table103.x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2.bin"/><Relationship Id="rId6" Type="http://schemas.openxmlformats.org/officeDocument/2006/relationships/table" Target="../tables/table102.xml"/><Relationship Id="rId5" Type="http://schemas.openxmlformats.org/officeDocument/2006/relationships/table" Target="../tables/table101.xml"/><Relationship Id="rId10" Type="http://schemas.openxmlformats.org/officeDocument/2006/relationships/table" Target="../tables/table106.xml"/><Relationship Id="rId4" Type="http://schemas.openxmlformats.org/officeDocument/2006/relationships/table" Target="../tables/table100.xml"/><Relationship Id="rId9" Type="http://schemas.openxmlformats.org/officeDocument/2006/relationships/table" Target="../tables/table10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7.x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3.bin"/><Relationship Id="rId5" Type="http://schemas.openxmlformats.org/officeDocument/2006/relationships/table" Target="../tables/table109.xml"/><Relationship Id="rId4" Type="http://schemas.openxmlformats.org/officeDocument/2006/relationships/table" Target="../tables/table108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0.x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4.bin"/><Relationship Id="rId5" Type="http://schemas.openxmlformats.org/officeDocument/2006/relationships/table" Target="../tables/table112.xml"/><Relationship Id="rId4" Type="http://schemas.openxmlformats.org/officeDocument/2006/relationships/table" Target="../tables/table111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8.xml"/><Relationship Id="rId3" Type="http://schemas.openxmlformats.org/officeDocument/2006/relationships/table" Target="../tables/table113.xml"/><Relationship Id="rId7" Type="http://schemas.openxmlformats.org/officeDocument/2006/relationships/table" Target="../tables/table117.x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5.bin"/><Relationship Id="rId6" Type="http://schemas.openxmlformats.org/officeDocument/2006/relationships/table" Target="../tables/table116.xml"/><Relationship Id="rId5" Type="http://schemas.openxmlformats.org/officeDocument/2006/relationships/table" Target="../tables/table115.xml"/><Relationship Id="rId10" Type="http://schemas.openxmlformats.org/officeDocument/2006/relationships/table" Target="../tables/table120.xml"/><Relationship Id="rId4" Type="http://schemas.openxmlformats.org/officeDocument/2006/relationships/table" Target="../tables/table114.xml"/><Relationship Id="rId9" Type="http://schemas.openxmlformats.org/officeDocument/2006/relationships/table" Target="../tables/table119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1.x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26.bin"/><Relationship Id="rId5" Type="http://schemas.openxmlformats.org/officeDocument/2006/relationships/table" Target="../tables/table123.xml"/><Relationship Id="rId4" Type="http://schemas.openxmlformats.org/officeDocument/2006/relationships/table" Target="../tables/table122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4.x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27.bin"/><Relationship Id="rId5" Type="http://schemas.openxmlformats.org/officeDocument/2006/relationships/table" Target="../tables/table126.xml"/><Relationship Id="rId4" Type="http://schemas.openxmlformats.org/officeDocument/2006/relationships/table" Target="../tables/table12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2.xml"/><Relationship Id="rId3" Type="http://schemas.openxmlformats.org/officeDocument/2006/relationships/table" Target="../tables/table127.xml"/><Relationship Id="rId7" Type="http://schemas.openxmlformats.org/officeDocument/2006/relationships/table" Target="../tables/table131.x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28.bin"/><Relationship Id="rId6" Type="http://schemas.openxmlformats.org/officeDocument/2006/relationships/table" Target="../tables/table130.xml"/><Relationship Id="rId5" Type="http://schemas.openxmlformats.org/officeDocument/2006/relationships/table" Target="../tables/table129.xml"/><Relationship Id="rId10" Type="http://schemas.openxmlformats.org/officeDocument/2006/relationships/table" Target="../tables/table134.xml"/><Relationship Id="rId4" Type="http://schemas.openxmlformats.org/officeDocument/2006/relationships/table" Target="../tables/table128.xml"/><Relationship Id="rId9" Type="http://schemas.openxmlformats.org/officeDocument/2006/relationships/table" Target="../tables/table133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5.x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29.bin"/><Relationship Id="rId5" Type="http://schemas.openxmlformats.org/officeDocument/2006/relationships/table" Target="../tables/table137.xml"/><Relationship Id="rId4" Type="http://schemas.openxmlformats.org/officeDocument/2006/relationships/table" Target="../tables/table136.xm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8.x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30.bin"/><Relationship Id="rId5" Type="http://schemas.openxmlformats.org/officeDocument/2006/relationships/table" Target="../tables/table140.xml"/><Relationship Id="rId4" Type="http://schemas.openxmlformats.org/officeDocument/2006/relationships/table" Target="../tables/table13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E10" sqref="E10"/>
    </sheetView>
  </sheetViews>
  <sheetFormatPr baseColWidth="10" defaultRowHeight="15" x14ac:dyDescent="0.25"/>
  <cols>
    <col min="3" max="3" width="48.28515625" customWidth="1"/>
  </cols>
  <sheetData>
    <row r="1" spans="1:3" ht="34.5" customHeight="1" x14ac:dyDescent="0.25">
      <c r="A1" s="56" t="s">
        <v>103</v>
      </c>
      <c r="B1" s="56" t="s">
        <v>104</v>
      </c>
      <c r="C1" s="56" t="s">
        <v>105</v>
      </c>
    </row>
    <row r="2" spans="1:3" ht="24" customHeight="1" x14ac:dyDescent="0.25">
      <c r="A2" s="31" t="s">
        <v>106</v>
      </c>
      <c r="B2" s="31" t="s">
        <v>1</v>
      </c>
      <c r="C2" s="57" t="s">
        <v>107</v>
      </c>
    </row>
    <row r="3" spans="1:3" ht="22.5" customHeight="1" x14ac:dyDescent="0.25">
      <c r="A3" s="31" t="s">
        <v>106</v>
      </c>
      <c r="B3" s="31" t="s">
        <v>1</v>
      </c>
      <c r="C3" s="58" t="s">
        <v>108</v>
      </c>
    </row>
    <row r="4" spans="1:3" ht="21.75" customHeight="1" x14ac:dyDescent="0.25">
      <c r="A4" s="31" t="s">
        <v>106</v>
      </c>
      <c r="B4" s="31" t="s">
        <v>1</v>
      </c>
      <c r="C4" s="57" t="s">
        <v>109</v>
      </c>
    </row>
    <row r="5" spans="1:3" ht="22.5" customHeight="1" x14ac:dyDescent="0.25">
      <c r="A5" s="31" t="s">
        <v>106</v>
      </c>
      <c r="B5" s="31" t="s">
        <v>1</v>
      </c>
      <c r="C5" s="58" t="s">
        <v>110</v>
      </c>
    </row>
    <row r="6" spans="1:3" ht="23.25" customHeight="1" x14ac:dyDescent="0.25">
      <c r="A6" s="31" t="s">
        <v>106</v>
      </c>
      <c r="B6" s="31" t="s">
        <v>1</v>
      </c>
      <c r="C6" s="57" t="s">
        <v>111</v>
      </c>
    </row>
    <row r="7" spans="1:3" ht="21" customHeight="1" x14ac:dyDescent="0.25">
      <c r="A7" s="31" t="s">
        <v>106</v>
      </c>
      <c r="B7" s="31" t="s">
        <v>1</v>
      </c>
      <c r="C7" s="57" t="s">
        <v>112</v>
      </c>
    </row>
    <row r="8" spans="1:3" ht="21" customHeight="1" x14ac:dyDescent="0.25">
      <c r="A8" s="31" t="s">
        <v>106</v>
      </c>
      <c r="B8" s="31" t="s">
        <v>1</v>
      </c>
      <c r="C8" s="58" t="s">
        <v>113</v>
      </c>
    </row>
    <row r="9" spans="1:3" ht="21" customHeight="1" x14ac:dyDescent="0.25">
      <c r="A9" s="31" t="s">
        <v>106</v>
      </c>
      <c r="B9" s="31" t="s">
        <v>1</v>
      </c>
      <c r="C9" s="57" t="s">
        <v>114</v>
      </c>
    </row>
    <row r="10" spans="1:3" ht="21" customHeight="1" x14ac:dyDescent="0.25">
      <c r="A10" s="31" t="s">
        <v>106</v>
      </c>
      <c r="B10" s="31" t="s">
        <v>1</v>
      </c>
      <c r="C10" s="58" t="s">
        <v>115</v>
      </c>
    </row>
    <row r="11" spans="1:3" ht="21.75" customHeight="1" x14ac:dyDescent="0.25">
      <c r="A11" s="31" t="s">
        <v>106</v>
      </c>
      <c r="B11" s="31" t="s">
        <v>1</v>
      </c>
      <c r="C11" s="57" t="s">
        <v>116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J27" sqref="J27"/>
    </sheetView>
  </sheetViews>
  <sheetFormatPr baseColWidth="10" defaultRowHeight="15" x14ac:dyDescent="0.25"/>
  <cols>
    <col min="2" max="2" width="13.42578125" customWidth="1"/>
  </cols>
  <sheetData>
    <row r="1" spans="1:2" ht="45" x14ac:dyDescent="0.25">
      <c r="A1" s="34" t="s">
        <v>3</v>
      </c>
      <c r="B1" s="34" t="s">
        <v>140</v>
      </c>
    </row>
    <row r="2" spans="1:2" x14ac:dyDescent="0.25">
      <c r="A2" s="54">
        <v>1991</v>
      </c>
      <c r="B2" s="2">
        <v>4819</v>
      </c>
    </row>
    <row r="3" spans="1:2" x14ac:dyDescent="0.25">
      <c r="A3" s="55">
        <v>1992</v>
      </c>
      <c r="B3" s="2">
        <v>90909</v>
      </c>
    </row>
    <row r="4" spans="1:2" x14ac:dyDescent="0.25">
      <c r="A4" s="54">
        <v>1993</v>
      </c>
      <c r="B4" s="2" t="s">
        <v>144</v>
      </c>
    </row>
    <row r="5" spans="1:2" x14ac:dyDescent="0.25">
      <c r="A5" s="55">
        <v>1994</v>
      </c>
      <c r="B5" s="2">
        <v>17090</v>
      </c>
    </row>
    <row r="6" spans="1:2" x14ac:dyDescent="0.25">
      <c r="A6" s="54">
        <v>1995</v>
      </c>
      <c r="B6" s="2">
        <v>36000</v>
      </c>
    </row>
    <row r="7" spans="1:2" x14ac:dyDescent="0.25">
      <c r="A7" s="55">
        <v>1996</v>
      </c>
      <c r="B7" s="2">
        <v>47600</v>
      </c>
    </row>
    <row r="8" spans="1:2" x14ac:dyDescent="0.25">
      <c r="A8" s="54">
        <v>1997</v>
      </c>
      <c r="B8" s="2" t="s">
        <v>144</v>
      </c>
    </row>
    <row r="9" spans="1:2" x14ac:dyDescent="0.25">
      <c r="A9" s="55">
        <v>1998</v>
      </c>
      <c r="B9" s="2" t="s">
        <v>144</v>
      </c>
    </row>
    <row r="10" spans="1:2" x14ac:dyDescent="0.25">
      <c r="A10" s="54">
        <v>1999</v>
      </c>
      <c r="B10" s="2" t="s">
        <v>144</v>
      </c>
    </row>
    <row r="11" spans="1:2" x14ac:dyDescent="0.25">
      <c r="A11" s="55">
        <v>2000</v>
      </c>
      <c r="B11" s="2">
        <v>4572</v>
      </c>
    </row>
    <row r="12" spans="1:2" x14ac:dyDescent="0.25">
      <c r="A12" s="55">
        <v>2001</v>
      </c>
      <c r="B12" s="2" t="s">
        <v>144</v>
      </c>
    </row>
    <row r="13" spans="1:2" x14ac:dyDescent="0.25">
      <c r="A13" s="55">
        <v>2002</v>
      </c>
      <c r="B13" s="2">
        <v>97350</v>
      </c>
    </row>
    <row r="14" spans="1:2" x14ac:dyDescent="0.25">
      <c r="A14" s="54">
        <v>2003</v>
      </c>
      <c r="B14" s="2">
        <v>464569</v>
      </c>
    </row>
    <row r="15" spans="1:2" x14ac:dyDescent="0.25">
      <c r="A15" s="55">
        <v>2004</v>
      </c>
      <c r="B15" s="2">
        <v>431018</v>
      </c>
    </row>
    <row r="16" spans="1:2" x14ac:dyDescent="0.25">
      <c r="A16" s="54">
        <v>2005</v>
      </c>
      <c r="B16" s="2">
        <v>55511</v>
      </c>
    </row>
    <row r="17" spans="1:2" x14ac:dyDescent="0.25">
      <c r="A17" s="55">
        <v>2006</v>
      </c>
      <c r="B17" s="2">
        <v>134778</v>
      </c>
    </row>
    <row r="18" spans="1:2" x14ac:dyDescent="0.25">
      <c r="A18" s="54">
        <v>2007</v>
      </c>
      <c r="B18" s="2">
        <v>91560</v>
      </c>
    </row>
    <row r="19" spans="1:2" x14ac:dyDescent="0.25">
      <c r="A19" s="55">
        <v>2008</v>
      </c>
      <c r="B19" s="2">
        <v>285865</v>
      </c>
    </row>
    <row r="20" spans="1:2" x14ac:dyDescent="0.25">
      <c r="A20" s="54">
        <v>2009</v>
      </c>
      <c r="B20" s="2">
        <v>373110</v>
      </c>
    </row>
    <row r="21" spans="1:2" x14ac:dyDescent="0.25">
      <c r="A21" s="55">
        <v>2010</v>
      </c>
      <c r="B21" s="2">
        <v>828857</v>
      </c>
    </row>
    <row r="22" spans="1:2" x14ac:dyDescent="0.25">
      <c r="A22" s="54">
        <v>2011</v>
      </c>
      <c r="B22" s="2">
        <v>1947323</v>
      </c>
    </row>
    <row r="23" spans="1:2" x14ac:dyDescent="0.25">
      <c r="A23" s="55">
        <v>2012</v>
      </c>
      <c r="B23" s="2">
        <v>2961183</v>
      </c>
    </row>
    <row r="24" spans="1:2" x14ac:dyDescent="0.25">
      <c r="A24" s="54">
        <v>2013</v>
      </c>
      <c r="B24" s="2">
        <v>2517989</v>
      </c>
    </row>
    <row r="25" spans="1:2" x14ac:dyDescent="0.25">
      <c r="A25" s="55">
        <v>2014</v>
      </c>
      <c r="B25" s="2">
        <v>3166151</v>
      </c>
    </row>
    <row r="26" spans="1:2" x14ac:dyDescent="0.25">
      <c r="A26" s="54">
        <v>2015</v>
      </c>
      <c r="B26" s="2">
        <v>1202045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M18" sqref="M18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141</v>
      </c>
    </row>
    <row r="2" spans="1:2" x14ac:dyDescent="0.25">
      <c r="A2" s="54">
        <v>1991</v>
      </c>
      <c r="B2" s="2">
        <v>2.257082</v>
      </c>
    </row>
    <row r="3" spans="1:2" x14ac:dyDescent="0.25">
      <c r="A3" s="55">
        <v>1992</v>
      </c>
      <c r="B3" s="2">
        <v>4.602716</v>
      </c>
    </row>
    <row r="4" spans="1:2" x14ac:dyDescent="0.25">
      <c r="A4" s="54">
        <v>1993</v>
      </c>
      <c r="B4" s="2">
        <v>5.4465870000000001</v>
      </c>
    </row>
    <row r="5" spans="1:2" x14ac:dyDescent="0.25">
      <c r="A5" s="55">
        <v>1994</v>
      </c>
      <c r="B5" s="2">
        <v>5.1758040000000003</v>
      </c>
    </row>
    <row r="6" spans="1:2" x14ac:dyDescent="0.25">
      <c r="A6" s="54">
        <v>1995</v>
      </c>
      <c r="B6" s="2">
        <v>19.175875999999999</v>
      </c>
    </row>
    <row r="7" spans="1:2" x14ac:dyDescent="0.25">
      <c r="A7" s="55">
        <v>1996</v>
      </c>
      <c r="B7" s="2">
        <v>18.612770000000001</v>
      </c>
    </row>
    <row r="8" spans="1:2" x14ac:dyDescent="0.25">
      <c r="A8" s="54">
        <v>1997</v>
      </c>
      <c r="B8" s="2">
        <v>23.088234</v>
      </c>
    </row>
    <row r="9" spans="1:2" x14ac:dyDescent="0.25">
      <c r="A9" s="55">
        <v>1998</v>
      </c>
      <c r="B9" s="2">
        <v>28.916785999999998</v>
      </c>
    </row>
    <row r="10" spans="1:2" x14ac:dyDescent="0.25">
      <c r="A10" s="54">
        <v>1999</v>
      </c>
      <c r="B10" s="2">
        <v>22.478852</v>
      </c>
    </row>
    <row r="11" spans="1:2" x14ac:dyDescent="0.25">
      <c r="A11" s="55">
        <v>2000</v>
      </c>
      <c r="B11" s="2">
        <v>22.640004999999999</v>
      </c>
    </row>
    <row r="12" spans="1:2" x14ac:dyDescent="0.25">
      <c r="A12" s="54">
        <v>2001</v>
      </c>
      <c r="B12" s="2">
        <v>23.962071000000002</v>
      </c>
    </row>
    <row r="13" spans="1:2" x14ac:dyDescent="0.25">
      <c r="A13" s="55">
        <v>2002</v>
      </c>
      <c r="B13" s="2">
        <v>19.855342</v>
      </c>
    </row>
    <row r="14" spans="1:2" x14ac:dyDescent="0.25">
      <c r="A14" s="54">
        <v>2003</v>
      </c>
      <c r="B14" s="2">
        <v>16.819969</v>
      </c>
    </row>
    <row r="15" spans="1:2" x14ac:dyDescent="0.25">
      <c r="A15" s="55">
        <v>2004</v>
      </c>
      <c r="B15" s="2">
        <v>9.0787460000000006</v>
      </c>
    </row>
    <row r="16" spans="1:2" x14ac:dyDescent="0.25">
      <c r="A16" s="54">
        <v>2005</v>
      </c>
      <c r="B16" s="2">
        <v>17.797436000000001</v>
      </c>
    </row>
    <row r="17" spans="1:2" x14ac:dyDescent="0.25">
      <c r="A17" s="55">
        <v>2006</v>
      </c>
      <c r="B17" s="2">
        <v>17.431228000000001</v>
      </c>
    </row>
    <row r="18" spans="1:2" x14ac:dyDescent="0.25">
      <c r="A18" s="54">
        <v>2007</v>
      </c>
      <c r="B18" s="2">
        <v>22.134972000000001</v>
      </c>
    </row>
    <row r="19" spans="1:2" x14ac:dyDescent="0.25">
      <c r="A19" s="55">
        <v>2008</v>
      </c>
      <c r="B19" s="2">
        <v>33.683701999999997</v>
      </c>
    </row>
    <row r="20" spans="1:2" x14ac:dyDescent="0.25">
      <c r="A20" s="54">
        <v>2009</v>
      </c>
      <c r="B20" s="2">
        <v>29.724412000000001</v>
      </c>
    </row>
    <row r="21" spans="1:2" x14ac:dyDescent="0.25">
      <c r="A21" s="55">
        <v>2010</v>
      </c>
      <c r="B21" s="2">
        <v>40.214798999999999</v>
      </c>
    </row>
    <row r="22" spans="1:2" x14ac:dyDescent="0.25">
      <c r="A22" s="54">
        <v>2011</v>
      </c>
      <c r="B22" s="2">
        <v>57.535119999999999</v>
      </c>
    </row>
    <row r="23" spans="1:2" x14ac:dyDescent="0.25">
      <c r="A23" s="55">
        <v>2012</v>
      </c>
      <c r="B23" s="2">
        <v>81.675417999999993</v>
      </c>
    </row>
    <row r="24" spans="1:2" x14ac:dyDescent="0.25">
      <c r="A24" s="54">
        <v>2013</v>
      </c>
      <c r="B24" s="2">
        <v>143.85558499999999</v>
      </c>
    </row>
    <row r="25" spans="1:2" x14ac:dyDescent="0.25">
      <c r="A25" s="55">
        <v>2014</v>
      </c>
      <c r="B25" s="2">
        <v>217.696721</v>
      </c>
    </row>
    <row r="26" spans="1:2" x14ac:dyDescent="0.25">
      <c r="A26" s="54">
        <v>2015</v>
      </c>
      <c r="B26" s="2">
        <v>167.27712399999999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21" sqref="C21"/>
    </sheetView>
  </sheetViews>
  <sheetFormatPr baseColWidth="10" defaultRowHeight="15" x14ac:dyDescent="0.25"/>
  <cols>
    <col min="2" max="2" width="12.85546875" customWidth="1"/>
  </cols>
  <sheetData>
    <row r="1" spans="1:7" ht="75" x14ac:dyDescent="0.25">
      <c r="A1" s="34" t="s">
        <v>3</v>
      </c>
      <c r="B1" s="34" t="s">
        <v>142</v>
      </c>
    </row>
    <row r="2" spans="1:7" x14ac:dyDescent="0.25">
      <c r="A2" s="54">
        <v>1991</v>
      </c>
      <c r="B2" s="74">
        <f>('Export 01'!B2/1000000)-('Import 01'!B2)</f>
        <v>-2.2522630000000001</v>
      </c>
      <c r="D2" s="128" t="s">
        <v>36</v>
      </c>
      <c r="E2" s="128"/>
      <c r="F2" s="66" t="s">
        <v>10</v>
      </c>
      <c r="G2" s="7" t="s">
        <v>37</v>
      </c>
    </row>
    <row r="3" spans="1:7" x14ac:dyDescent="0.25">
      <c r="A3" s="55">
        <v>1992</v>
      </c>
      <c r="B3" s="74">
        <f>('Export 01'!B3/1000000)-('Import 01'!B3)</f>
        <v>-4.5118070000000001</v>
      </c>
    </row>
    <row r="4" spans="1:7" x14ac:dyDescent="0.25">
      <c r="A4" s="54">
        <v>1993</v>
      </c>
      <c r="B4" s="74" t="e">
        <f>('Export 01'!B4/1000000)-('Import 01'!B4)</f>
        <v>#VALUE!</v>
      </c>
    </row>
    <row r="5" spans="1:7" x14ac:dyDescent="0.25">
      <c r="A5" s="55">
        <v>1994</v>
      </c>
      <c r="B5" s="74">
        <f>('Export 01'!B5/1000000)-('Import 01'!B5)</f>
        <v>-5.1587140000000007</v>
      </c>
    </row>
    <row r="6" spans="1:7" x14ac:dyDescent="0.25">
      <c r="A6" s="54">
        <v>1995</v>
      </c>
      <c r="B6" s="74">
        <f>('Export 01'!B6/1000000)-('Import 01'!B6)</f>
        <v>-19.139875999999997</v>
      </c>
    </row>
    <row r="7" spans="1:7" x14ac:dyDescent="0.25">
      <c r="A7" s="55">
        <v>1996</v>
      </c>
      <c r="B7" s="74">
        <f>('Export 01'!B7/1000000)-('Import 01'!B7)</f>
        <v>-18.565170000000002</v>
      </c>
    </row>
    <row r="8" spans="1:7" x14ac:dyDescent="0.25">
      <c r="A8" s="54">
        <v>1997</v>
      </c>
      <c r="B8" s="74" t="e">
        <f>('Export 01'!B8/1000000)-('Import 01'!B8)</f>
        <v>#VALUE!</v>
      </c>
    </row>
    <row r="9" spans="1:7" x14ac:dyDescent="0.25">
      <c r="A9" s="55">
        <v>1998</v>
      </c>
      <c r="B9" s="74" t="e">
        <f>('Export 01'!B9/1000000)-('Import 01'!B9)</f>
        <v>#VALUE!</v>
      </c>
    </row>
    <row r="10" spans="1:7" x14ac:dyDescent="0.25">
      <c r="A10" s="54">
        <v>1999</v>
      </c>
      <c r="B10" s="74" t="e">
        <f>('Export 01'!B10/1000000)-('Import 01'!B10)</f>
        <v>#VALUE!</v>
      </c>
    </row>
    <row r="11" spans="1:7" x14ac:dyDescent="0.25">
      <c r="A11" s="55">
        <v>2000</v>
      </c>
      <c r="B11" s="74">
        <f>('Export 01'!B11/1000000)-('Import 01'!B11)</f>
        <v>-22.635432999999999</v>
      </c>
    </row>
    <row r="12" spans="1:7" x14ac:dyDescent="0.25">
      <c r="A12" s="54">
        <v>2001</v>
      </c>
      <c r="B12" s="74" t="e">
        <f>('Export 01'!B12/1000000)-('Import 01'!B12)</f>
        <v>#VALUE!</v>
      </c>
    </row>
    <row r="13" spans="1:7" x14ac:dyDescent="0.25">
      <c r="A13" s="55">
        <v>2002</v>
      </c>
      <c r="B13" s="74">
        <f>('Export 01'!B13/1000000)-('Import 01'!B13)</f>
        <v>-19.757992000000002</v>
      </c>
    </row>
    <row r="14" spans="1:7" x14ac:dyDescent="0.25">
      <c r="A14" s="54">
        <v>2003</v>
      </c>
      <c r="B14" s="74">
        <f>('Export 01'!B14/1000000)-('Import 01'!B14)</f>
        <v>-16.355399999999999</v>
      </c>
    </row>
    <row r="15" spans="1:7" x14ac:dyDescent="0.25">
      <c r="A15" s="55">
        <v>2004</v>
      </c>
      <c r="B15" s="74">
        <f>('Export 01'!B15/1000000)-('Import 01'!B15)</f>
        <v>-8.6477280000000007</v>
      </c>
    </row>
    <row r="16" spans="1:7" x14ac:dyDescent="0.25">
      <c r="A16" s="54">
        <v>2005</v>
      </c>
      <c r="B16" s="74">
        <f>('Export 01'!B16/1000000)-('Import 01'!B16)</f>
        <v>-17.741925000000002</v>
      </c>
    </row>
    <row r="17" spans="1:2" x14ac:dyDescent="0.25">
      <c r="A17" s="55">
        <v>2006</v>
      </c>
      <c r="B17" s="74">
        <f>('Export 01'!B17/1000000)-('Import 01'!B17)</f>
        <v>-17.29645</v>
      </c>
    </row>
    <row r="18" spans="1:2" x14ac:dyDescent="0.25">
      <c r="A18" s="54">
        <v>2007</v>
      </c>
      <c r="B18" s="74">
        <f>('Export 01'!B18/1000000)-('Import 01'!B18)</f>
        <v>-22.043412</v>
      </c>
    </row>
    <row r="19" spans="1:2" x14ac:dyDescent="0.25">
      <c r="A19" s="55">
        <v>2008</v>
      </c>
      <c r="B19" s="74">
        <f>('Export 01'!B19/1000000)-('Import 01'!B19)</f>
        <v>-33.397836999999996</v>
      </c>
    </row>
    <row r="20" spans="1:2" x14ac:dyDescent="0.25">
      <c r="A20" s="54">
        <v>2009</v>
      </c>
      <c r="B20" s="74">
        <f>('Export 01'!B20/1000000)-('Import 01'!B20)</f>
        <v>-29.351302</v>
      </c>
    </row>
    <row r="21" spans="1:2" x14ac:dyDescent="0.25">
      <c r="A21" s="55">
        <v>2010</v>
      </c>
      <c r="B21" s="74">
        <f>('Export 01'!B21/1000000)-('Import 01'!B21)</f>
        <v>-39.385942</v>
      </c>
    </row>
    <row r="22" spans="1:2" x14ac:dyDescent="0.25">
      <c r="A22" s="54">
        <v>2011</v>
      </c>
      <c r="B22" s="74">
        <f>('Export 01'!B22/1000000)-('Import 01'!B22)</f>
        <v>-55.587797000000002</v>
      </c>
    </row>
    <row r="23" spans="1:2" x14ac:dyDescent="0.25">
      <c r="A23" s="55">
        <v>2012</v>
      </c>
      <c r="B23" s="74">
        <f>('Export 01'!B23/1000000)-('Import 01'!B23)</f>
        <v>-78.714234999999988</v>
      </c>
    </row>
    <row r="24" spans="1:2" x14ac:dyDescent="0.25">
      <c r="A24" s="54">
        <v>2013</v>
      </c>
      <c r="B24" s="74">
        <f>('Export 01'!B24/1000000)-('Import 01'!B24)</f>
        <v>-141.33759599999999</v>
      </c>
    </row>
    <row r="25" spans="1:2" x14ac:dyDescent="0.25">
      <c r="A25" s="55">
        <v>2014</v>
      </c>
      <c r="B25" s="74">
        <f>('Export 01'!B25/1000000)-('Import 01'!B25)</f>
        <v>-214.53056999999998</v>
      </c>
    </row>
    <row r="26" spans="1:2" x14ac:dyDescent="0.25">
      <c r="A26" s="54">
        <v>2015</v>
      </c>
      <c r="B26" s="74">
        <f>('Export 01'!B26/1000000)-('Import 01'!B26)</f>
        <v>-166.07507899999999</v>
      </c>
    </row>
    <row r="27" spans="1:2" x14ac:dyDescent="0.25">
      <c r="A27" t="s">
        <v>117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181" zoomScale="110" zoomScaleNormal="110" workbookViewId="0">
      <selection activeCell="E245" sqref="E245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4.28515625" bestFit="1" customWidth="1"/>
    <col min="6" max="6" width="13.28515625" customWidth="1"/>
    <col min="7" max="8" width="12.5703125" customWidth="1"/>
    <col min="9" max="9" width="3.7109375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66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143</v>
      </c>
      <c r="C6" s="13" t="s">
        <v>9</v>
      </c>
      <c r="D6" s="14" t="s">
        <v>4</v>
      </c>
    </row>
    <row r="7" spans="1:10" x14ac:dyDescent="0.25">
      <c r="A7" s="10">
        <v>1991</v>
      </c>
      <c r="B7" s="2">
        <f>'Export 01'!B2</f>
        <v>4819</v>
      </c>
      <c r="C7" s="5">
        <v>41239.551378248201</v>
      </c>
      <c r="D7" s="19">
        <f t="shared" ref="D7:D31" si="0">B7/(C7*1000000)</f>
        <v>1.1685384149309106E-7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2">
        <f>'Export 01'!B3</f>
        <v>90909</v>
      </c>
      <c r="C8" s="5">
        <v>49279.585355094838</v>
      </c>
      <c r="D8" s="19">
        <f t="shared" si="0"/>
        <v>1.84475984010286E-6</v>
      </c>
    </row>
    <row r="9" spans="1:10" x14ac:dyDescent="0.25">
      <c r="A9" s="10">
        <v>1993</v>
      </c>
      <c r="B9" s="2" t="str">
        <f>'Export 01'!B4</f>
        <v>nd</v>
      </c>
      <c r="C9" s="5">
        <v>55802.540100979531</v>
      </c>
      <c r="D9" s="19" t="e">
        <f t="shared" si="0"/>
        <v>#VALUE!</v>
      </c>
    </row>
    <row r="10" spans="1:10" x14ac:dyDescent="0.25">
      <c r="A10" s="10">
        <v>1994</v>
      </c>
      <c r="B10" s="2">
        <f>'Export 01'!B5</f>
        <v>17090</v>
      </c>
      <c r="C10" s="5">
        <v>81703.496603993364</v>
      </c>
      <c r="D10" s="19">
        <f t="shared" si="0"/>
        <v>2.0917097444229461E-7</v>
      </c>
    </row>
    <row r="11" spans="1:10" x14ac:dyDescent="0.25">
      <c r="A11" s="10">
        <v>1995</v>
      </c>
      <c r="B11" s="2">
        <f>'Export 01'!B6</f>
        <v>36000</v>
      </c>
      <c r="C11" s="5">
        <v>92507.277798198498</v>
      </c>
      <c r="D11" s="19">
        <f t="shared" si="0"/>
        <v>3.8915857062114379E-7</v>
      </c>
    </row>
    <row r="12" spans="1:10" x14ac:dyDescent="0.25">
      <c r="A12" s="10">
        <v>1996</v>
      </c>
      <c r="B12" s="2">
        <f>'Export 01'!B7</f>
        <v>47600</v>
      </c>
      <c r="C12" s="5">
        <v>97160.111573336981</v>
      </c>
      <c r="D12" s="19">
        <f t="shared" si="0"/>
        <v>4.8991298207877485E-7</v>
      </c>
    </row>
    <row r="13" spans="1:10" x14ac:dyDescent="0.25">
      <c r="A13" s="10">
        <v>1997</v>
      </c>
      <c r="B13" s="2" t="str">
        <f>'Export 01'!B8</f>
        <v>nd</v>
      </c>
      <c r="C13" s="5">
        <v>106659.5079635281</v>
      </c>
      <c r="D13" s="19" t="e">
        <f t="shared" si="0"/>
        <v>#VALUE!</v>
      </c>
    </row>
    <row r="14" spans="1:10" x14ac:dyDescent="0.25">
      <c r="A14" s="10">
        <v>1998</v>
      </c>
      <c r="B14" s="2" t="str">
        <f>'Export 01'!B9</f>
        <v>nd</v>
      </c>
      <c r="C14" s="5">
        <v>98443.743190849113</v>
      </c>
      <c r="D14" s="19" t="e">
        <f t="shared" si="0"/>
        <v>#VALUE!</v>
      </c>
    </row>
    <row r="15" spans="1:10" x14ac:dyDescent="0.25">
      <c r="A15" s="10">
        <v>1999</v>
      </c>
      <c r="B15" s="2" t="str">
        <f>'Export 01'!B10</f>
        <v>nd</v>
      </c>
      <c r="C15" s="5">
        <v>86186.156584381664</v>
      </c>
      <c r="D15" s="19" t="e">
        <f t="shared" si="0"/>
        <v>#VALUE!</v>
      </c>
    </row>
    <row r="16" spans="1:10" x14ac:dyDescent="0.25">
      <c r="A16" s="10">
        <v>2000</v>
      </c>
      <c r="B16" s="2">
        <f>'Export 01'!B11</f>
        <v>4572</v>
      </c>
      <c r="C16" s="5">
        <v>99886.577575544405</v>
      </c>
      <c r="D16" s="19">
        <f t="shared" si="0"/>
        <v>4.5771915616411906E-8</v>
      </c>
    </row>
    <row r="17" spans="1:4" x14ac:dyDescent="0.25">
      <c r="A17" s="10">
        <v>2001</v>
      </c>
      <c r="B17" s="2" t="str">
        <f>'Export 01'!B12</f>
        <v>nd</v>
      </c>
      <c r="C17" s="5">
        <v>98203.544965267793</v>
      </c>
      <c r="D17" s="19" t="e">
        <f t="shared" si="0"/>
        <v>#VALUE!</v>
      </c>
    </row>
    <row r="18" spans="1:4" x14ac:dyDescent="0.25">
      <c r="A18" s="10">
        <v>2002</v>
      </c>
      <c r="B18" s="2">
        <f>'Export 01'!B13</f>
        <v>97350</v>
      </c>
      <c r="C18" s="5">
        <v>97933.392356425262</v>
      </c>
      <c r="D18" s="19">
        <f t="shared" si="0"/>
        <v>9.9404296795620008E-7</v>
      </c>
    </row>
    <row r="19" spans="1:4" x14ac:dyDescent="0.25">
      <c r="A19" s="10">
        <v>2003</v>
      </c>
      <c r="B19" s="2">
        <f>'Export 01'!B14</f>
        <v>464569</v>
      </c>
      <c r="C19" s="5">
        <v>94684.582573316715</v>
      </c>
      <c r="D19" s="19">
        <f t="shared" si="0"/>
        <v>4.9064904483290321E-6</v>
      </c>
    </row>
    <row r="20" spans="1:4" x14ac:dyDescent="0.25">
      <c r="A20" s="10">
        <v>2004</v>
      </c>
      <c r="B20" s="2">
        <f>'Export 01'!B15</f>
        <v>431018</v>
      </c>
      <c r="C20" s="5">
        <v>117074.86551527939</v>
      </c>
      <c r="D20" s="19">
        <f t="shared" si="0"/>
        <v>3.6815587880709378E-6</v>
      </c>
    </row>
    <row r="21" spans="1:4" x14ac:dyDescent="0.25">
      <c r="A21" s="10">
        <v>2005</v>
      </c>
      <c r="B21" s="2">
        <f>'Export 01'!B16</f>
        <v>55511</v>
      </c>
      <c r="C21" s="5">
        <v>146566.26631057015</v>
      </c>
      <c r="D21" s="19">
        <f t="shared" si="0"/>
        <v>3.7874335887340963E-7</v>
      </c>
    </row>
    <row r="22" spans="1:4" x14ac:dyDescent="0.25">
      <c r="A22" s="10">
        <v>2006</v>
      </c>
      <c r="B22" s="2">
        <f>'Export 01'!B17</f>
        <v>134778</v>
      </c>
      <c r="C22" s="5">
        <v>162590.1460964143</v>
      </c>
      <c r="D22" s="19">
        <f t="shared" si="0"/>
        <v>8.2894322464092019E-7</v>
      </c>
    </row>
    <row r="23" spans="1:4" x14ac:dyDescent="0.25">
      <c r="A23" s="10">
        <v>2007</v>
      </c>
      <c r="B23" s="2">
        <f>'Export 01'!B18</f>
        <v>91560</v>
      </c>
      <c r="C23" s="5">
        <v>207416.49464237894</v>
      </c>
      <c r="D23" s="19">
        <f t="shared" si="0"/>
        <v>4.4143065939796595E-7</v>
      </c>
    </row>
    <row r="24" spans="1:4" x14ac:dyDescent="0.25">
      <c r="A24" s="10">
        <v>2008</v>
      </c>
      <c r="B24" s="2">
        <f>'Export 01'!B19</f>
        <v>285865</v>
      </c>
      <c r="C24" s="5">
        <v>243982.43787084011</v>
      </c>
      <c r="D24" s="19">
        <f t="shared" si="0"/>
        <v>1.1716622003397299E-6</v>
      </c>
    </row>
    <row r="25" spans="1:4" x14ac:dyDescent="0.25">
      <c r="A25" s="10">
        <v>2009</v>
      </c>
      <c r="B25" s="2">
        <f>'Export 01'!B20</f>
        <v>373110</v>
      </c>
      <c r="C25" s="5">
        <v>233821.6705442575</v>
      </c>
      <c r="D25" s="19">
        <f t="shared" si="0"/>
        <v>1.5957032516769149E-6</v>
      </c>
    </row>
    <row r="26" spans="1:4" x14ac:dyDescent="0.25">
      <c r="A26" s="10">
        <v>2010</v>
      </c>
      <c r="B26" s="2">
        <f>'Export 01'!B21</f>
        <v>828857</v>
      </c>
      <c r="C26" s="5">
        <v>287018.18463752925</v>
      </c>
      <c r="D26" s="19">
        <f t="shared" si="0"/>
        <v>2.8878205088181101E-6</v>
      </c>
    </row>
    <row r="27" spans="1:4" x14ac:dyDescent="0.25">
      <c r="A27" s="10">
        <v>2011</v>
      </c>
      <c r="B27" s="2">
        <f>'Export 01'!B22</f>
        <v>1947323</v>
      </c>
      <c r="C27" s="5">
        <v>335415.15670218616</v>
      </c>
      <c r="D27" s="19">
        <f t="shared" si="0"/>
        <v>5.8057096141574208E-6</v>
      </c>
    </row>
    <row r="28" spans="1:4" x14ac:dyDescent="0.25">
      <c r="A28" s="10">
        <v>2012</v>
      </c>
      <c r="B28" s="2">
        <f>'Export 01'!B23</f>
        <v>2961183</v>
      </c>
      <c r="C28" s="5">
        <v>369659.70037551981</v>
      </c>
      <c r="D28" s="19">
        <f t="shared" si="0"/>
        <v>8.0105648438060032E-6</v>
      </c>
    </row>
    <row r="29" spans="1:4" x14ac:dyDescent="0.25">
      <c r="A29" s="10">
        <v>2013</v>
      </c>
      <c r="B29" s="2">
        <f>'Export 01'!B24</f>
        <v>2517989</v>
      </c>
      <c r="C29" s="5">
        <v>380191.88186037214</v>
      </c>
      <c r="D29" s="19">
        <f t="shared" si="0"/>
        <v>6.6229425722581507E-6</v>
      </c>
    </row>
    <row r="30" spans="1:4" x14ac:dyDescent="0.25">
      <c r="A30" s="10">
        <v>2014</v>
      </c>
      <c r="B30" s="2">
        <f>'Export 01'!B25</f>
        <v>3166151</v>
      </c>
      <c r="C30" s="5">
        <v>378416.02053371473</v>
      </c>
      <c r="D30" s="19">
        <f t="shared" si="0"/>
        <v>8.366852427480442E-6</v>
      </c>
    </row>
    <row r="31" spans="1:4" x14ac:dyDescent="0.25">
      <c r="A31" s="11">
        <v>2015</v>
      </c>
      <c r="B31" s="2">
        <f>'Export 01'!B26</f>
        <v>1202045</v>
      </c>
      <c r="C31" s="6">
        <v>292080.15563330991</v>
      </c>
      <c r="D31" s="19">
        <f t="shared" si="0"/>
        <v>4.1154627482090882E-6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41</v>
      </c>
      <c r="C35" s="13" t="s">
        <v>9</v>
      </c>
      <c r="D35" s="14" t="s">
        <v>40</v>
      </c>
    </row>
    <row r="36" spans="1:10" x14ac:dyDescent="0.25">
      <c r="A36" s="10">
        <v>1991</v>
      </c>
      <c r="B36" s="84">
        <f>'Import 01'!B2</f>
        <v>2.257082</v>
      </c>
      <c r="C36" s="5">
        <v>41239.551378248172</v>
      </c>
      <c r="D36" s="75">
        <f t="shared" ref="D36:D60" si="1">(B36/C36)/1000</f>
        <v>5.4731002752626919E-8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84">
        <f>'Import 01'!B3</f>
        <v>4.602716</v>
      </c>
      <c r="C37" s="5">
        <v>49279.585355094838</v>
      </c>
      <c r="D37" s="75">
        <f t="shared" si="1"/>
        <v>9.3400055354242986E-8</v>
      </c>
    </row>
    <row r="38" spans="1:10" x14ac:dyDescent="0.25">
      <c r="A38" s="10">
        <v>1993</v>
      </c>
      <c r="B38" s="84">
        <f>'Import 01'!B4</f>
        <v>5.4465870000000001</v>
      </c>
      <c r="C38" s="5">
        <v>55802.540100979531</v>
      </c>
      <c r="D38" s="75">
        <f t="shared" si="1"/>
        <v>9.7604642909515039E-8</v>
      </c>
    </row>
    <row r="39" spans="1:10" x14ac:dyDescent="0.25">
      <c r="A39" s="10">
        <v>1994</v>
      </c>
      <c r="B39" s="84">
        <f>'Import 01'!B5</f>
        <v>5.1758040000000003</v>
      </c>
      <c r="C39" s="5">
        <v>81703.496603993364</v>
      </c>
      <c r="D39" s="75">
        <f t="shared" si="1"/>
        <v>6.3348622949229152E-8</v>
      </c>
    </row>
    <row r="40" spans="1:10" x14ac:dyDescent="0.25">
      <c r="A40" s="10">
        <v>1995</v>
      </c>
      <c r="B40" s="84">
        <f>'Import 01'!B6</f>
        <v>19.175875999999999</v>
      </c>
      <c r="C40" s="5">
        <v>92507.277798198498</v>
      </c>
      <c r="D40" s="75">
        <f t="shared" si="1"/>
        <v>2.0729045818245266E-7</v>
      </c>
    </row>
    <row r="41" spans="1:10" x14ac:dyDescent="0.25">
      <c r="A41" s="10">
        <v>1996</v>
      </c>
      <c r="B41" s="84">
        <f>'Import 01'!B7</f>
        <v>18.612770000000001</v>
      </c>
      <c r="C41" s="5">
        <v>97160.111573336981</v>
      </c>
      <c r="D41" s="75">
        <f t="shared" si="1"/>
        <v>1.9156801797156214E-7</v>
      </c>
    </row>
    <row r="42" spans="1:10" x14ac:dyDescent="0.25">
      <c r="A42" s="10">
        <v>1997</v>
      </c>
      <c r="B42" s="84">
        <f>'Import 01'!B8</f>
        <v>23.088234</v>
      </c>
      <c r="C42" s="5">
        <v>106659.5079635281</v>
      </c>
      <c r="D42" s="75">
        <f t="shared" si="1"/>
        <v>2.1646672144685829E-7</v>
      </c>
    </row>
    <row r="43" spans="1:10" x14ac:dyDescent="0.25">
      <c r="A43" s="10">
        <v>1998</v>
      </c>
      <c r="B43" s="84">
        <f>'Import 01'!B9</f>
        <v>28.916785999999998</v>
      </c>
      <c r="C43" s="5">
        <v>98443.743190849113</v>
      </c>
      <c r="D43" s="75">
        <f t="shared" si="1"/>
        <v>2.9373919624267163E-7</v>
      </c>
    </row>
    <row r="44" spans="1:10" x14ac:dyDescent="0.25">
      <c r="A44" s="10">
        <v>1999</v>
      </c>
      <c r="B44" s="84">
        <f>'Import 01'!B10</f>
        <v>22.478852</v>
      </c>
      <c r="C44" s="5">
        <v>86186.156584381664</v>
      </c>
      <c r="D44" s="75">
        <f t="shared" si="1"/>
        <v>2.6081743160215983E-7</v>
      </c>
    </row>
    <row r="45" spans="1:10" x14ac:dyDescent="0.25">
      <c r="A45" s="10">
        <v>2000</v>
      </c>
      <c r="B45" s="84">
        <f>'Import 01'!B11</f>
        <v>22.640004999999999</v>
      </c>
      <c r="C45" s="5">
        <v>99886.577575544405</v>
      </c>
      <c r="D45" s="75">
        <f t="shared" si="1"/>
        <v>2.2665713001206112E-7</v>
      </c>
    </row>
    <row r="46" spans="1:10" x14ac:dyDescent="0.25">
      <c r="A46" s="10">
        <v>2001</v>
      </c>
      <c r="B46" s="84">
        <f>'Import 01'!B12</f>
        <v>23.962071000000002</v>
      </c>
      <c r="C46" s="5">
        <v>98203.544965267793</v>
      </c>
      <c r="D46" s="75">
        <f t="shared" si="1"/>
        <v>2.4400413456026261E-7</v>
      </c>
    </row>
    <row r="47" spans="1:10" x14ac:dyDescent="0.25">
      <c r="A47" s="10">
        <v>2002</v>
      </c>
      <c r="B47" s="84">
        <f>'Import 01'!B13</f>
        <v>19.855342</v>
      </c>
      <c r="C47" s="5">
        <v>97933.392356425262</v>
      </c>
      <c r="D47" s="75">
        <f t="shared" si="1"/>
        <v>2.0274332913677857E-7</v>
      </c>
    </row>
    <row r="48" spans="1:10" x14ac:dyDescent="0.25">
      <c r="A48" s="10">
        <v>2003</v>
      </c>
      <c r="B48" s="84">
        <f>'Import 01'!B14</f>
        <v>16.819969</v>
      </c>
      <c r="C48" s="5">
        <v>94684.582573316715</v>
      </c>
      <c r="D48" s="75">
        <f t="shared" si="1"/>
        <v>1.7764210965365842E-7</v>
      </c>
    </row>
    <row r="49" spans="1:10" x14ac:dyDescent="0.25">
      <c r="A49" s="10">
        <v>2004</v>
      </c>
      <c r="B49" s="84">
        <f>'Import 01'!B15</f>
        <v>9.0787460000000006</v>
      </c>
      <c r="C49" s="5">
        <v>117074.86551527939</v>
      </c>
      <c r="D49" s="75">
        <f t="shared" si="1"/>
        <v>7.7546499498777027E-8</v>
      </c>
    </row>
    <row r="50" spans="1:10" x14ac:dyDescent="0.25">
      <c r="A50" s="10">
        <v>2005</v>
      </c>
      <c r="B50" s="84">
        <f>'Import 01'!B16</f>
        <v>17.797436000000001</v>
      </c>
      <c r="C50" s="5">
        <v>146566.26631057015</v>
      </c>
      <c r="D50" s="75">
        <f t="shared" si="1"/>
        <v>1.2142927870105997E-7</v>
      </c>
    </row>
    <row r="51" spans="1:10" x14ac:dyDescent="0.25">
      <c r="A51" s="10">
        <v>2006</v>
      </c>
      <c r="B51" s="84">
        <f>'Import 01'!B17</f>
        <v>17.431228000000001</v>
      </c>
      <c r="C51" s="5">
        <v>162590.1460964143</v>
      </c>
      <c r="D51" s="75">
        <f t="shared" si="1"/>
        <v>1.0720962136083856E-7</v>
      </c>
    </row>
    <row r="52" spans="1:10" x14ac:dyDescent="0.25">
      <c r="A52" s="10">
        <v>2007</v>
      </c>
      <c r="B52" s="84">
        <f>'Import 01'!B18</f>
        <v>22.134972000000001</v>
      </c>
      <c r="C52" s="5">
        <v>207416.49464237894</v>
      </c>
      <c r="D52" s="75">
        <f t="shared" si="1"/>
        <v>1.067175107657876E-7</v>
      </c>
    </row>
    <row r="53" spans="1:10" x14ac:dyDescent="0.25">
      <c r="A53" s="10">
        <v>2008</v>
      </c>
      <c r="B53" s="84">
        <f>'Import 01'!B19</f>
        <v>33.683701999999997</v>
      </c>
      <c r="C53" s="5">
        <v>243982.43787084011</v>
      </c>
      <c r="D53" s="75">
        <f t="shared" si="1"/>
        <v>1.3805789586310939E-7</v>
      </c>
    </row>
    <row r="54" spans="1:10" x14ac:dyDescent="0.25">
      <c r="A54" s="10">
        <v>2009</v>
      </c>
      <c r="B54" s="84">
        <f>'Import 01'!B20</f>
        <v>29.724412000000001</v>
      </c>
      <c r="C54" s="5">
        <v>233821.6705442575</v>
      </c>
      <c r="D54" s="75">
        <f t="shared" si="1"/>
        <v>1.2712428206851682E-7</v>
      </c>
    </row>
    <row r="55" spans="1:10" x14ac:dyDescent="0.25">
      <c r="A55" s="10">
        <v>2010</v>
      </c>
      <c r="B55" s="84">
        <f>'Import 01'!B21</f>
        <v>40.214798999999999</v>
      </c>
      <c r="C55" s="5">
        <v>287018.18463752925</v>
      </c>
      <c r="D55" s="75">
        <f t="shared" si="1"/>
        <v>1.401123731960978E-7</v>
      </c>
    </row>
    <row r="56" spans="1:10" x14ac:dyDescent="0.25">
      <c r="A56" s="10">
        <v>2011</v>
      </c>
      <c r="B56" s="84">
        <f>'Import 01'!B22</f>
        <v>57.535119999999999</v>
      </c>
      <c r="C56" s="5">
        <v>335415.15670218616</v>
      </c>
      <c r="D56" s="75">
        <f t="shared" si="1"/>
        <v>1.7153404922331883E-7</v>
      </c>
    </row>
    <row r="57" spans="1:10" x14ac:dyDescent="0.25">
      <c r="A57" s="10">
        <v>2012</v>
      </c>
      <c r="B57" s="84">
        <f>'Import 01'!B23</f>
        <v>81.675417999999993</v>
      </c>
      <c r="C57" s="5">
        <v>369659.70037551981</v>
      </c>
      <c r="D57" s="75">
        <f t="shared" si="1"/>
        <v>2.2094758481119202E-7</v>
      </c>
    </row>
    <row r="58" spans="1:10" x14ac:dyDescent="0.25">
      <c r="A58" s="10">
        <v>2013</v>
      </c>
      <c r="B58" s="84">
        <f>'Import 01'!B24</f>
        <v>143.85558499999999</v>
      </c>
      <c r="C58" s="5">
        <v>380191.88186037214</v>
      </c>
      <c r="D58" s="75">
        <f t="shared" si="1"/>
        <v>3.7837626699465362E-7</v>
      </c>
    </row>
    <row r="59" spans="1:10" x14ac:dyDescent="0.25">
      <c r="A59" s="10">
        <v>2014</v>
      </c>
      <c r="B59" s="84">
        <f>'Import 01'!B25</f>
        <v>217.696721</v>
      </c>
      <c r="C59" s="5">
        <v>378416.02053371473</v>
      </c>
      <c r="D59" s="75">
        <f t="shared" si="1"/>
        <v>5.7528410317555378E-7</v>
      </c>
    </row>
    <row r="60" spans="1:10" x14ac:dyDescent="0.25">
      <c r="A60" s="11">
        <v>2015</v>
      </c>
      <c r="B60" s="84">
        <f>'Import 01'!B26</f>
        <v>167.27712399999999</v>
      </c>
      <c r="C60" s="6">
        <v>292080.15563330991</v>
      </c>
      <c r="D60" s="75">
        <f t="shared" si="1"/>
        <v>5.7270965101102911E-7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66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145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84">
        <f>'Import 01'!B2</f>
        <v>2.257082</v>
      </c>
      <c r="C66" s="5">
        <v>6174.0429999999997</v>
      </c>
      <c r="D66" s="79">
        <f t="shared" ref="D66:D90" si="2">(B66/C66)/1000000</f>
        <v>3.6557600910780832E-10</v>
      </c>
      <c r="E66" s="1"/>
    </row>
    <row r="67" spans="1:5" x14ac:dyDescent="0.25">
      <c r="A67" s="10">
        <v>1992</v>
      </c>
      <c r="B67" s="84">
        <f>'Import 01'!B3</f>
        <v>4.602716</v>
      </c>
      <c r="C67" s="5">
        <v>6539.299</v>
      </c>
      <c r="D67" s="79">
        <f t="shared" si="2"/>
        <v>7.0385464864047359E-10</v>
      </c>
      <c r="E67" s="1"/>
    </row>
    <row r="68" spans="1:5" x14ac:dyDescent="0.25">
      <c r="A68" s="10">
        <v>1993</v>
      </c>
      <c r="B68" s="84">
        <f>'Import 01'!B4</f>
        <v>5.4465870000000001</v>
      </c>
      <c r="C68" s="5">
        <v>6878.7179999999998</v>
      </c>
      <c r="D68" s="79">
        <f t="shared" si="2"/>
        <v>7.9180262950160199E-10</v>
      </c>
      <c r="E68" s="1"/>
    </row>
    <row r="69" spans="1:5" x14ac:dyDescent="0.25">
      <c r="A69" s="10">
        <v>1994</v>
      </c>
      <c r="B69" s="84">
        <f>'Import 01'!B5</f>
        <v>5.1758040000000003</v>
      </c>
      <c r="C69" s="5">
        <v>7308.7550000000001</v>
      </c>
      <c r="D69" s="79">
        <f t="shared" si="2"/>
        <v>7.0816493369937835E-10</v>
      </c>
      <c r="E69" s="1"/>
    </row>
    <row r="70" spans="1:5" x14ac:dyDescent="0.25">
      <c r="A70" s="10">
        <v>1995</v>
      </c>
      <c r="B70" s="84">
        <f>'Import 01'!B6</f>
        <v>19.175875999999999</v>
      </c>
      <c r="C70" s="5">
        <v>7664.06</v>
      </c>
      <c r="D70" s="79">
        <f t="shared" si="2"/>
        <v>2.5020519150424187E-9</v>
      </c>
      <c r="E70" s="1"/>
    </row>
    <row r="71" spans="1:5" x14ac:dyDescent="0.25">
      <c r="A71" s="10">
        <v>1996</v>
      </c>
      <c r="B71" s="84">
        <f>'Import 01'!B7</f>
        <v>18.612770000000001</v>
      </c>
      <c r="C71" s="5">
        <v>8100.201</v>
      </c>
      <c r="D71" s="79">
        <f t="shared" si="2"/>
        <v>2.2978158196321303E-9</v>
      </c>
      <c r="E71" s="1"/>
    </row>
    <row r="72" spans="1:5" x14ac:dyDescent="0.25">
      <c r="A72" s="10">
        <v>1997</v>
      </c>
      <c r="B72" s="84">
        <f>'Import 01'!B8</f>
        <v>23.088234</v>
      </c>
      <c r="C72" s="5">
        <v>8608.5149999999994</v>
      </c>
      <c r="D72" s="79">
        <f t="shared" si="2"/>
        <v>2.6820228576008757E-9</v>
      </c>
      <c r="E72" s="1"/>
    </row>
    <row r="73" spans="1:5" x14ac:dyDescent="0.25">
      <c r="A73" s="10">
        <v>1998</v>
      </c>
      <c r="B73" s="84">
        <f>'Import 01'!B9</f>
        <v>28.916785999999998</v>
      </c>
      <c r="C73" s="5">
        <v>9089.1679999999997</v>
      </c>
      <c r="D73" s="79">
        <f t="shared" si="2"/>
        <v>3.1814557724095319E-9</v>
      </c>
      <c r="E73" s="1"/>
    </row>
    <row r="74" spans="1:5" x14ac:dyDescent="0.25">
      <c r="A74" s="10">
        <v>1999</v>
      </c>
      <c r="B74" s="84">
        <f>'Import 01'!B10</f>
        <v>22.478852</v>
      </c>
      <c r="C74" s="5">
        <v>9660.6239999999998</v>
      </c>
      <c r="D74" s="79">
        <f t="shared" si="2"/>
        <v>2.3268530065966754E-9</v>
      </c>
      <c r="E74" s="1"/>
    </row>
    <row r="75" spans="1:5" x14ac:dyDescent="0.25">
      <c r="A75" s="10">
        <v>2000</v>
      </c>
      <c r="B75" s="84">
        <f>'Import 01'!B11</f>
        <v>22.640004999999999</v>
      </c>
      <c r="C75" s="5">
        <v>10284.779</v>
      </c>
      <c r="D75" s="79">
        <f t="shared" si="2"/>
        <v>2.2013117637238485E-9</v>
      </c>
      <c r="E75" s="1"/>
    </row>
    <row r="76" spans="1:5" x14ac:dyDescent="0.25">
      <c r="A76" s="10">
        <v>2001</v>
      </c>
      <c r="B76" s="84">
        <f>'Import 01'!B12</f>
        <v>23.962071000000002</v>
      </c>
      <c r="C76" s="5">
        <v>10621.824000000001</v>
      </c>
      <c r="D76" s="79">
        <f t="shared" si="2"/>
        <v>2.2559280778894472E-9</v>
      </c>
      <c r="E76" s="1"/>
    </row>
    <row r="77" spans="1:5" x14ac:dyDescent="0.25">
      <c r="A77" s="10">
        <v>2002</v>
      </c>
      <c r="B77" s="84">
        <f>'Import 01'!B13</f>
        <v>19.855342</v>
      </c>
      <c r="C77" s="5">
        <v>10977.513999999999</v>
      </c>
      <c r="D77" s="79">
        <f t="shared" si="2"/>
        <v>1.8087284607425689E-9</v>
      </c>
      <c r="E77" s="1"/>
    </row>
    <row r="78" spans="1:5" x14ac:dyDescent="0.25">
      <c r="A78" s="10">
        <v>2003</v>
      </c>
      <c r="B78" s="84">
        <f>'Import 01'!B14</f>
        <v>16.819969</v>
      </c>
      <c r="C78" s="5">
        <v>11510.67</v>
      </c>
      <c r="D78" s="79">
        <f t="shared" si="2"/>
        <v>1.4612502139319433E-9</v>
      </c>
      <c r="E78" s="1"/>
    </row>
    <row r="79" spans="1:5" x14ac:dyDescent="0.25">
      <c r="A79" s="10">
        <v>2004</v>
      </c>
      <c r="B79" s="84">
        <f>'Import 01'!B15</f>
        <v>9.0787460000000006</v>
      </c>
      <c r="C79" s="5">
        <v>12274.928</v>
      </c>
      <c r="D79" s="79">
        <f t="shared" si="2"/>
        <v>7.3961704704092769E-10</v>
      </c>
      <c r="E79" s="1"/>
    </row>
    <row r="80" spans="1:5" x14ac:dyDescent="0.25">
      <c r="A80" s="10">
        <v>2005</v>
      </c>
      <c r="B80" s="84">
        <f>'Import 01'!B16</f>
        <v>17.797436000000001</v>
      </c>
      <c r="C80" s="5">
        <v>13093.726000000001</v>
      </c>
      <c r="D80" s="79">
        <f t="shared" si="2"/>
        <v>1.3592338804095946E-9</v>
      </c>
      <c r="E80" s="1"/>
    </row>
    <row r="81" spans="1:10" x14ac:dyDescent="0.25">
      <c r="A81" s="10">
        <v>2006</v>
      </c>
      <c r="B81" s="84">
        <f>'Import 01'!B17</f>
        <v>17.431228000000001</v>
      </c>
      <c r="C81" s="5">
        <v>13855.888000000001</v>
      </c>
      <c r="D81" s="79">
        <f t="shared" si="2"/>
        <v>1.2580375938373636E-9</v>
      </c>
      <c r="E81" s="1"/>
    </row>
    <row r="82" spans="1:10" x14ac:dyDescent="0.25">
      <c r="A82" s="10">
        <v>2007</v>
      </c>
      <c r="B82" s="84">
        <f>'Import 01'!B18</f>
        <v>22.134972000000001</v>
      </c>
      <c r="C82" s="5">
        <v>14477.635</v>
      </c>
      <c r="D82" s="79">
        <f t="shared" si="2"/>
        <v>1.5289080018939558E-9</v>
      </c>
      <c r="E82" s="1"/>
    </row>
    <row r="83" spans="1:10" x14ac:dyDescent="0.25">
      <c r="A83" s="10">
        <v>2008</v>
      </c>
      <c r="B83" s="84">
        <f>'Import 01'!B19</f>
        <v>33.683701999999997</v>
      </c>
      <c r="C83" s="5">
        <v>14718.582</v>
      </c>
      <c r="D83" s="79">
        <f t="shared" si="2"/>
        <v>2.2885154289998857E-9</v>
      </c>
      <c r="E83" s="1"/>
    </row>
    <row r="84" spans="1:10" x14ac:dyDescent="0.25">
      <c r="A84" s="10">
        <v>2009</v>
      </c>
      <c r="B84" s="84">
        <f>'Import 01'!B20</f>
        <v>29.724412000000001</v>
      </c>
      <c r="C84" s="5">
        <v>14418.739</v>
      </c>
      <c r="D84" s="79">
        <f t="shared" si="2"/>
        <v>2.0615125913576768E-9</v>
      </c>
      <c r="E84" s="1"/>
    </row>
    <row r="85" spans="1:10" x14ac:dyDescent="0.25">
      <c r="A85" s="10">
        <v>2010</v>
      </c>
      <c r="B85" s="84">
        <f>'Import 01'!B21</f>
        <v>40.214798999999999</v>
      </c>
      <c r="C85" s="5">
        <v>14964.371999999999</v>
      </c>
      <c r="D85" s="79">
        <f t="shared" si="2"/>
        <v>2.6873696403698064E-9</v>
      </c>
      <c r="E85" s="1"/>
    </row>
    <row r="86" spans="1:10" x14ac:dyDescent="0.25">
      <c r="A86" s="10">
        <v>2011</v>
      </c>
      <c r="B86" s="84">
        <f>'Import 01'!B22</f>
        <v>57.535119999999999</v>
      </c>
      <c r="C86" s="5">
        <v>15517.925999999999</v>
      </c>
      <c r="D86" s="79">
        <f t="shared" si="2"/>
        <v>3.7076552626942546E-9</v>
      </c>
      <c r="E86" s="1"/>
    </row>
    <row r="87" spans="1:10" x14ac:dyDescent="0.25">
      <c r="A87" s="10">
        <v>2012</v>
      </c>
      <c r="B87" s="84">
        <f>'Import 01'!B23</f>
        <v>81.675417999999993</v>
      </c>
      <c r="C87" s="5">
        <v>16155.254999999999</v>
      </c>
      <c r="D87" s="79">
        <f t="shared" si="2"/>
        <v>5.055656379301967E-9</v>
      </c>
      <c r="E87" s="1"/>
    </row>
    <row r="88" spans="1:10" x14ac:dyDescent="0.25">
      <c r="A88" s="10">
        <v>2013</v>
      </c>
      <c r="B88" s="84">
        <f>'Import 01'!B24</f>
        <v>143.85558499999999</v>
      </c>
      <c r="C88" s="5">
        <v>16663.16</v>
      </c>
      <c r="D88" s="79">
        <f t="shared" si="2"/>
        <v>8.6331515150787719E-9</v>
      </c>
      <c r="E88" s="1"/>
    </row>
    <row r="89" spans="1:10" x14ac:dyDescent="0.25">
      <c r="A89" s="10">
        <v>2014</v>
      </c>
      <c r="B89" s="84">
        <f>'Import 01'!B25</f>
        <v>217.696721</v>
      </c>
      <c r="C89" s="5">
        <v>17348.071499999998</v>
      </c>
      <c r="D89" s="79">
        <f t="shared" si="2"/>
        <v>1.2548756269536935E-8</v>
      </c>
      <c r="E89" s="1"/>
    </row>
    <row r="90" spans="1:10" x14ac:dyDescent="0.25">
      <c r="A90" s="11">
        <v>2015</v>
      </c>
      <c r="B90" s="84">
        <f>'Import 01'!B26</f>
        <v>167.27712399999999</v>
      </c>
      <c r="C90" s="5">
        <v>17946.995999999999</v>
      </c>
      <c r="D90" s="79">
        <f t="shared" si="2"/>
        <v>9.3206196736211448E-9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45" x14ac:dyDescent="0.25">
      <c r="A95" s="12" t="s">
        <v>3</v>
      </c>
      <c r="B95" s="13" t="s">
        <v>146</v>
      </c>
      <c r="C95" s="13" t="s">
        <v>7</v>
      </c>
      <c r="D95" s="14" t="s">
        <v>43</v>
      </c>
    </row>
    <row r="96" spans="1:10" x14ac:dyDescent="0.25">
      <c r="A96" s="10">
        <v>1991</v>
      </c>
      <c r="B96" s="2">
        <f t="shared" ref="B96:B120" si="3">B7</f>
        <v>4819</v>
      </c>
      <c r="C96" s="5">
        <v>6174.0429999999997</v>
      </c>
      <c r="D96" s="64">
        <f>(B96/C96)/1000000000</f>
        <v>7.8052582400219757E-10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>
        <f t="shared" si="3"/>
        <v>90909</v>
      </c>
      <c r="C97" s="5">
        <v>6539.299</v>
      </c>
      <c r="D97" s="64">
        <f t="shared" ref="D97:D120" si="4">(B97/C97)/1000000000</f>
        <v>1.3901948817449701E-8</v>
      </c>
    </row>
    <row r="98" spans="1:4" x14ac:dyDescent="0.25">
      <c r="A98" s="10">
        <v>1993</v>
      </c>
      <c r="B98" s="2" t="str">
        <f t="shared" si="3"/>
        <v>nd</v>
      </c>
      <c r="C98" s="5">
        <v>6878.7179999999998</v>
      </c>
      <c r="D98" s="64" t="e">
        <f t="shared" si="4"/>
        <v>#VALUE!</v>
      </c>
    </row>
    <row r="99" spans="1:4" x14ac:dyDescent="0.25">
      <c r="A99" s="10">
        <v>1994</v>
      </c>
      <c r="B99" s="2">
        <f t="shared" si="3"/>
        <v>17090</v>
      </c>
      <c r="C99" s="5">
        <v>7308.7550000000001</v>
      </c>
      <c r="D99" s="64">
        <f t="shared" si="4"/>
        <v>2.3382915421299525E-9</v>
      </c>
    </row>
    <row r="100" spans="1:4" x14ac:dyDescent="0.25">
      <c r="A100" s="10">
        <v>1995</v>
      </c>
      <c r="B100" s="2">
        <f t="shared" si="3"/>
        <v>36000</v>
      </c>
      <c r="C100" s="5">
        <v>7664.06</v>
      </c>
      <c r="D100" s="64">
        <f t="shared" si="4"/>
        <v>4.6972492386541854E-9</v>
      </c>
    </row>
    <row r="101" spans="1:4" x14ac:dyDescent="0.25">
      <c r="A101" s="10">
        <v>1996</v>
      </c>
      <c r="B101" s="2">
        <f t="shared" si="3"/>
        <v>47600</v>
      </c>
      <c r="C101" s="5">
        <v>8100.201</v>
      </c>
      <c r="D101" s="64">
        <f t="shared" si="4"/>
        <v>5.8763973881635774E-9</v>
      </c>
    </row>
    <row r="102" spans="1:4" x14ac:dyDescent="0.25">
      <c r="A102" s="10">
        <v>1997</v>
      </c>
      <c r="B102" s="2" t="str">
        <f t="shared" si="3"/>
        <v>nd</v>
      </c>
      <c r="C102" s="5">
        <v>8608.5149999999994</v>
      </c>
      <c r="D102" s="64" t="e">
        <f t="shared" si="4"/>
        <v>#VALUE!</v>
      </c>
    </row>
    <row r="103" spans="1:4" x14ac:dyDescent="0.25">
      <c r="A103" s="10">
        <v>1998</v>
      </c>
      <c r="B103" s="2" t="str">
        <f t="shared" si="3"/>
        <v>nd</v>
      </c>
      <c r="C103" s="5">
        <v>9089.1679999999997</v>
      </c>
      <c r="D103" s="64" t="e">
        <f t="shared" si="4"/>
        <v>#VALUE!</v>
      </c>
    </row>
    <row r="104" spans="1:4" x14ac:dyDescent="0.25">
      <c r="A104" s="10">
        <v>1999</v>
      </c>
      <c r="B104" s="2" t="str">
        <f t="shared" si="3"/>
        <v>nd</v>
      </c>
      <c r="C104" s="5">
        <v>9660.6239999999998</v>
      </c>
      <c r="D104" s="64" t="e">
        <f t="shared" si="4"/>
        <v>#VALUE!</v>
      </c>
    </row>
    <row r="105" spans="1:4" x14ac:dyDescent="0.25">
      <c r="A105" s="10">
        <v>2000</v>
      </c>
      <c r="B105" s="2">
        <f t="shared" si="3"/>
        <v>4572</v>
      </c>
      <c r="C105" s="5">
        <v>10284.779</v>
      </c>
      <c r="D105" s="64">
        <f t="shared" si="4"/>
        <v>4.4454042230756731E-10</v>
      </c>
    </row>
    <row r="106" spans="1:4" x14ac:dyDescent="0.25">
      <c r="A106" s="10">
        <v>2001</v>
      </c>
      <c r="B106" s="2" t="str">
        <f t="shared" si="3"/>
        <v>nd</v>
      </c>
      <c r="C106" s="5">
        <v>10621.824000000001</v>
      </c>
      <c r="D106" s="64" t="e">
        <f t="shared" si="4"/>
        <v>#VALUE!</v>
      </c>
    </row>
    <row r="107" spans="1:4" x14ac:dyDescent="0.25">
      <c r="A107" s="10">
        <v>2002</v>
      </c>
      <c r="B107" s="2">
        <f t="shared" si="3"/>
        <v>97350</v>
      </c>
      <c r="C107" s="5">
        <v>10977.513999999999</v>
      </c>
      <c r="D107" s="64">
        <f t="shared" si="4"/>
        <v>8.8681280661541399E-9</v>
      </c>
    </row>
    <row r="108" spans="1:4" x14ac:dyDescent="0.25">
      <c r="A108" s="10">
        <v>2003</v>
      </c>
      <c r="B108" s="2">
        <f t="shared" si="3"/>
        <v>464569</v>
      </c>
      <c r="C108" s="5">
        <v>11510.67</v>
      </c>
      <c r="D108" s="64">
        <f t="shared" si="4"/>
        <v>4.0359857419246663E-8</v>
      </c>
    </row>
    <row r="109" spans="1:4" x14ac:dyDescent="0.25">
      <c r="A109" s="10">
        <v>2004</v>
      </c>
      <c r="B109" s="2">
        <f t="shared" si="3"/>
        <v>431018</v>
      </c>
      <c r="C109" s="5">
        <v>12274.928</v>
      </c>
      <c r="D109" s="64">
        <f t="shared" si="4"/>
        <v>3.5113688650556646E-8</v>
      </c>
    </row>
    <row r="110" spans="1:4" x14ac:dyDescent="0.25">
      <c r="A110" s="10">
        <v>2005</v>
      </c>
      <c r="B110" s="2">
        <f t="shared" si="3"/>
        <v>55511</v>
      </c>
      <c r="C110" s="5">
        <v>13093.726000000001</v>
      </c>
      <c r="D110" s="64">
        <f t="shared" si="4"/>
        <v>4.2395113507033823E-9</v>
      </c>
    </row>
    <row r="111" spans="1:4" x14ac:dyDescent="0.25">
      <c r="A111" s="10">
        <v>2006</v>
      </c>
      <c r="B111" s="2">
        <f t="shared" si="3"/>
        <v>134778</v>
      </c>
      <c r="C111" s="5">
        <v>13855.888000000001</v>
      </c>
      <c r="D111" s="64">
        <f t="shared" si="4"/>
        <v>9.7271282793278925E-9</v>
      </c>
    </row>
    <row r="112" spans="1:4" x14ac:dyDescent="0.25">
      <c r="A112" s="10">
        <v>2007</v>
      </c>
      <c r="B112" s="2">
        <f t="shared" si="3"/>
        <v>91560</v>
      </c>
      <c r="C112" s="5">
        <v>14477.635</v>
      </c>
      <c r="D112" s="64">
        <f t="shared" si="4"/>
        <v>6.3242373495394792E-9</v>
      </c>
    </row>
    <row r="113" spans="1:10" x14ac:dyDescent="0.25">
      <c r="A113" s="10">
        <v>2008</v>
      </c>
      <c r="B113" s="2">
        <f t="shared" si="3"/>
        <v>285865</v>
      </c>
      <c r="C113" s="5">
        <v>14718.582</v>
      </c>
      <c r="D113" s="64">
        <f t="shared" si="4"/>
        <v>1.9422047585834015E-8</v>
      </c>
    </row>
    <row r="114" spans="1:10" x14ac:dyDescent="0.25">
      <c r="A114" s="10">
        <v>2009</v>
      </c>
      <c r="B114" s="2">
        <f t="shared" si="3"/>
        <v>373110</v>
      </c>
      <c r="C114" s="5">
        <v>14418.739</v>
      </c>
      <c r="D114" s="64">
        <f t="shared" si="4"/>
        <v>2.587674275815659E-8</v>
      </c>
    </row>
    <row r="115" spans="1:10" x14ac:dyDescent="0.25">
      <c r="A115" s="10">
        <v>2010</v>
      </c>
      <c r="B115" s="2">
        <f t="shared" si="3"/>
        <v>828857</v>
      </c>
      <c r="C115" s="5">
        <v>14964.371999999999</v>
      </c>
      <c r="D115" s="64">
        <f t="shared" si="4"/>
        <v>5.5388692555892094E-8</v>
      </c>
    </row>
    <row r="116" spans="1:10" x14ac:dyDescent="0.25">
      <c r="A116" s="10">
        <v>2011</v>
      </c>
      <c r="B116" s="2">
        <f t="shared" si="3"/>
        <v>1947323</v>
      </c>
      <c r="C116" s="5">
        <v>15517.925999999999</v>
      </c>
      <c r="D116" s="64">
        <f t="shared" si="4"/>
        <v>1.2548861233131285E-7</v>
      </c>
    </row>
    <row r="117" spans="1:10" x14ac:dyDescent="0.25">
      <c r="A117" s="10">
        <v>2012</v>
      </c>
      <c r="B117" s="2">
        <f t="shared" si="3"/>
        <v>2961183</v>
      </c>
      <c r="C117" s="5">
        <v>16155.254999999999</v>
      </c>
      <c r="D117" s="64">
        <f t="shared" si="4"/>
        <v>1.8329534259904904E-7</v>
      </c>
    </row>
    <row r="118" spans="1:10" x14ac:dyDescent="0.25">
      <c r="A118" s="10">
        <v>2013</v>
      </c>
      <c r="B118" s="2">
        <f t="shared" si="3"/>
        <v>2517989</v>
      </c>
      <c r="C118" s="5">
        <v>16663.16</v>
      </c>
      <c r="D118" s="64">
        <f t="shared" si="4"/>
        <v>1.5111113378254784E-7</v>
      </c>
    </row>
    <row r="119" spans="1:10" x14ac:dyDescent="0.25">
      <c r="A119" s="10">
        <v>2014</v>
      </c>
      <c r="B119" s="2">
        <f t="shared" si="3"/>
        <v>3166151</v>
      </c>
      <c r="C119" s="5">
        <v>17348.071499999998</v>
      </c>
      <c r="D119" s="64">
        <f t="shared" si="4"/>
        <v>1.8250737553162611E-7</v>
      </c>
    </row>
    <row r="120" spans="1:10" x14ac:dyDescent="0.25">
      <c r="A120" s="11">
        <v>2015</v>
      </c>
      <c r="B120" s="2">
        <f t="shared" si="3"/>
        <v>1202045</v>
      </c>
      <c r="C120" s="5">
        <v>17946.995999999999</v>
      </c>
      <c r="D120" s="64">
        <f t="shared" si="4"/>
        <v>6.6977504201817399E-8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147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80">
        <f t="shared" ref="B125:B149" si="5">(B7/1000000000)+B36</f>
        <v>2.257086819</v>
      </c>
      <c r="C125" s="5">
        <v>41239.551378248201</v>
      </c>
      <c r="D125" s="76">
        <f t="shared" ref="D125:D149" si="6">(B125/C125)/10000000</f>
        <v>5.4731119606468378E-12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80">
        <f t="shared" si="5"/>
        <v>4.6028069089999999</v>
      </c>
      <c r="C126" s="5">
        <v>49279.585355094838</v>
      </c>
      <c r="D126" s="76">
        <f t="shared" si="6"/>
        <v>9.3401900114083086E-12</v>
      </c>
      <c r="I126" s="42"/>
    </row>
    <row r="127" spans="1:10" x14ac:dyDescent="0.25">
      <c r="A127" s="10">
        <v>1993</v>
      </c>
      <c r="B127" s="80" t="e">
        <f t="shared" si="5"/>
        <v>#VALUE!</v>
      </c>
      <c r="C127" s="5">
        <v>55802.540100979531</v>
      </c>
      <c r="D127" s="76" t="e">
        <f t="shared" si="6"/>
        <v>#VALUE!</v>
      </c>
    </row>
    <row r="128" spans="1:10" x14ac:dyDescent="0.25">
      <c r="A128" s="10">
        <v>1994</v>
      </c>
      <c r="B128" s="80">
        <f t="shared" si="5"/>
        <v>5.1758210900000003</v>
      </c>
      <c r="C128" s="5">
        <v>81703.496603993364</v>
      </c>
      <c r="D128" s="76">
        <f t="shared" si="6"/>
        <v>6.3348832120203596E-12</v>
      </c>
    </row>
    <row r="129" spans="1:4" x14ac:dyDescent="0.25">
      <c r="A129" s="10">
        <v>1995</v>
      </c>
      <c r="B129" s="80">
        <f t="shared" si="5"/>
        <v>19.175912</v>
      </c>
      <c r="C129" s="5">
        <v>92507.277798198498</v>
      </c>
      <c r="D129" s="76">
        <f t="shared" si="6"/>
        <v>2.0729084734102331E-11</v>
      </c>
    </row>
    <row r="130" spans="1:4" x14ac:dyDescent="0.25">
      <c r="A130" s="10">
        <v>1996</v>
      </c>
      <c r="B130" s="80">
        <f t="shared" si="5"/>
        <v>18.6128176</v>
      </c>
      <c r="C130" s="5">
        <v>97160.111573336981</v>
      </c>
      <c r="D130" s="76">
        <f t="shared" si="6"/>
        <v>1.9156850788454419E-11</v>
      </c>
    </row>
    <row r="131" spans="1:4" x14ac:dyDescent="0.25">
      <c r="A131" s="10">
        <v>1997</v>
      </c>
      <c r="B131" s="80" t="e">
        <f t="shared" si="5"/>
        <v>#VALUE!</v>
      </c>
      <c r="C131" s="5">
        <v>106659.5079635281</v>
      </c>
      <c r="D131" s="76" t="e">
        <f t="shared" si="6"/>
        <v>#VALUE!</v>
      </c>
    </row>
    <row r="132" spans="1:4" x14ac:dyDescent="0.25">
      <c r="A132" s="10">
        <v>1998</v>
      </c>
      <c r="B132" s="80" t="e">
        <f t="shared" si="5"/>
        <v>#VALUE!</v>
      </c>
      <c r="C132" s="5">
        <v>98443.743190849113</v>
      </c>
      <c r="D132" s="76" t="e">
        <f t="shared" si="6"/>
        <v>#VALUE!</v>
      </c>
    </row>
    <row r="133" spans="1:4" x14ac:dyDescent="0.25">
      <c r="A133" s="10">
        <v>1999</v>
      </c>
      <c r="B133" s="80" t="e">
        <f t="shared" si="5"/>
        <v>#VALUE!</v>
      </c>
      <c r="C133" s="5">
        <v>86186.156584381664</v>
      </c>
      <c r="D133" s="76" t="e">
        <f t="shared" si="6"/>
        <v>#VALUE!</v>
      </c>
    </row>
    <row r="134" spans="1:4" x14ac:dyDescent="0.25">
      <c r="A134" s="10">
        <v>2000</v>
      </c>
      <c r="B134" s="80">
        <f t="shared" si="5"/>
        <v>22.640009572</v>
      </c>
      <c r="C134" s="5">
        <v>99886.577575544405</v>
      </c>
      <c r="D134" s="76">
        <f t="shared" si="6"/>
        <v>2.2665717578397678E-11</v>
      </c>
    </row>
    <row r="135" spans="1:4" x14ac:dyDescent="0.25">
      <c r="A135" s="10">
        <v>2001</v>
      </c>
      <c r="B135" s="80" t="e">
        <f t="shared" si="5"/>
        <v>#VALUE!</v>
      </c>
      <c r="C135" s="5">
        <v>98203.544965267793</v>
      </c>
      <c r="D135" s="76" t="e">
        <f t="shared" si="6"/>
        <v>#VALUE!</v>
      </c>
    </row>
    <row r="136" spans="1:4" x14ac:dyDescent="0.25">
      <c r="A136" s="10">
        <v>2002</v>
      </c>
      <c r="B136" s="80">
        <f t="shared" si="5"/>
        <v>19.855439350000001</v>
      </c>
      <c r="C136" s="5">
        <v>97933.392356425305</v>
      </c>
      <c r="D136" s="76">
        <f t="shared" si="6"/>
        <v>2.0274432317974642E-11</v>
      </c>
    </row>
    <row r="137" spans="1:4" x14ac:dyDescent="0.25">
      <c r="A137" s="10">
        <v>2003</v>
      </c>
      <c r="B137" s="80">
        <f t="shared" si="5"/>
        <v>16.820433568999999</v>
      </c>
      <c r="C137" s="5">
        <v>94684.582573316715</v>
      </c>
      <c r="D137" s="76">
        <f t="shared" si="6"/>
        <v>1.7764701614410671E-11</v>
      </c>
    </row>
    <row r="138" spans="1:4" x14ac:dyDescent="0.25">
      <c r="A138" s="10">
        <v>2004</v>
      </c>
      <c r="B138" s="80">
        <f t="shared" si="5"/>
        <v>9.0791770180000011</v>
      </c>
      <c r="C138" s="5">
        <v>117074.86551527939</v>
      </c>
      <c r="D138" s="76">
        <f t="shared" si="6"/>
        <v>7.7550181057565106E-12</v>
      </c>
    </row>
    <row r="139" spans="1:4" x14ac:dyDescent="0.25">
      <c r="A139" s="10">
        <v>2005</v>
      </c>
      <c r="B139" s="80">
        <f t="shared" si="5"/>
        <v>17.797491511</v>
      </c>
      <c r="C139" s="5">
        <v>146566.26631057015</v>
      </c>
      <c r="D139" s="76">
        <f t="shared" si="6"/>
        <v>1.2142965744441885E-11</v>
      </c>
    </row>
    <row r="140" spans="1:4" x14ac:dyDescent="0.25">
      <c r="A140" s="10">
        <v>2006</v>
      </c>
      <c r="B140" s="80">
        <f t="shared" si="5"/>
        <v>17.431362778</v>
      </c>
      <c r="C140" s="5">
        <v>162590.1460964143</v>
      </c>
      <c r="D140" s="76">
        <f t="shared" si="6"/>
        <v>1.0721045030406319E-11</v>
      </c>
    </row>
    <row r="141" spans="1:4" x14ac:dyDescent="0.25">
      <c r="A141" s="10">
        <v>2007</v>
      </c>
      <c r="B141" s="80">
        <f t="shared" si="5"/>
        <v>22.135063560000003</v>
      </c>
      <c r="C141" s="5">
        <v>207416.49464237894</v>
      </c>
      <c r="D141" s="76">
        <f t="shared" si="6"/>
        <v>1.0671795219644701E-11</v>
      </c>
    </row>
    <row r="142" spans="1:4" x14ac:dyDescent="0.25">
      <c r="A142" s="10">
        <v>2008</v>
      </c>
      <c r="B142" s="80">
        <f t="shared" si="5"/>
        <v>33.683987864999999</v>
      </c>
      <c r="C142" s="5">
        <v>243982.43787084011</v>
      </c>
      <c r="D142" s="76">
        <f t="shared" si="6"/>
        <v>1.3805906752530973E-11</v>
      </c>
    </row>
    <row r="143" spans="1:4" x14ac:dyDescent="0.25">
      <c r="A143" s="10">
        <v>2009</v>
      </c>
      <c r="B143" s="80">
        <f t="shared" si="5"/>
        <v>29.724785110000003</v>
      </c>
      <c r="C143" s="5">
        <v>233821.6705442575</v>
      </c>
      <c r="D143" s="76">
        <f t="shared" si="6"/>
        <v>1.2712587777176851E-11</v>
      </c>
    </row>
    <row r="144" spans="1:4" x14ac:dyDescent="0.25">
      <c r="A144" s="10">
        <v>2010</v>
      </c>
      <c r="B144" s="80">
        <f t="shared" si="5"/>
        <v>40.215627857000001</v>
      </c>
      <c r="C144" s="5">
        <v>287018.18463752925</v>
      </c>
      <c r="D144" s="76">
        <f t="shared" si="6"/>
        <v>1.4011526101660661E-11</v>
      </c>
    </row>
    <row r="145" spans="1:10" x14ac:dyDescent="0.25">
      <c r="A145" s="10">
        <v>2011</v>
      </c>
      <c r="B145" s="80">
        <f t="shared" si="5"/>
        <v>57.537067323000002</v>
      </c>
      <c r="C145" s="5">
        <v>335415.15670218616</v>
      </c>
      <c r="D145" s="76">
        <f t="shared" si="6"/>
        <v>1.7153985493293301E-11</v>
      </c>
    </row>
    <row r="146" spans="1:10" x14ac:dyDescent="0.25">
      <c r="A146" s="10">
        <v>2012</v>
      </c>
      <c r="B146" s="80">
        <f t="shared" si="5"/>
        <v>81.67837918299999</v>
      </c>
      <c r="C146" s="5">
        <v>369659.70037551981</v>
      </c>
      <c r="D146" s="76">
        <f t="shared" si="6"/>
        <v>2.2095559537603584E-11</v>
      </c>
    </row>
    <row r="147" spans="1:10" x14ac:dyDescent="0.25">
      <c r="A147" s="10">
        <v>2013</v>
      </c>
      <c r="B147" s="80">
        <f t="shared" si="5"/>
        <v>143.858102989</v>
      </c>
      <c r="C147" s="5">
        <v>380191.88186037214</v>
      </c>
      <c r="D147" s="76">
        <f t="shared" si="6"/>
        <v>3.7838288993722594E-11</v>
      </c>
    </row>
    <row r="148" spans="1:10" x14ac:dyDescent="0.25">
      <c r="A148" s="10">
        <v>2014</v>
      </c>
      <c r="B148" s="80">
        <f t="shared" si="5"/>
        <v>217.69988715099998</v>
      </c>
      <c r="C148" s="5">
        <v>378416.02053371473</v>
      </c>
      <c r="D148" s="76">
        <f t="shared" si="6"/>
        <v>5.7529247002798118E-11</v>
      </c>
    </row>
    <row r="149" spans="1:10" x14ac:dyDescent="0.25">
      <c r="A149" s="11">
        <v>2015</v>
      </c>
      <c r="B149" s="80">
        <f t="shared" si="5"/>
        <v>167.278326045</v>
      </c>
      <c r="C149" s="6">
        <v>292080.15563330991</v>
      </c>
      <c r="D149" s="76">
        <f t="shared" si="6"/>
        <v>5.7271376647377732E-11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45" x14ac:dyDescent="0.25">
      <c r="A153" s="12" t="s">
        <v>3</v>
      </c>
      <c r="B153" s="13" t="s">
        <v>148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80">
        <f>B125</f>
        <v>2.257086819</v>
      </c>
      <c r="C154" s="5">
        <v>6174.0429999999997</v>
      </c>
      <c r="D154" s="78">
        <f t="shared" ref="D154:D178" si="7">(B154/C154)/1000000000</f>
        <v>3.6557678963363227E-13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80">
        <f t="shared" ref="B155:B178" si="8">B126</f>
        <v>4.6028069089999999</v>
      </c>
      <c r="C155" s="5">
        <v>6539.299</v>
      </c>
      <c r="D155" s="77">
        <f t="shared" si="7"/>
        <v>7.0386855058929104E-13</v>
      </c>
    </row>
    <row r="156" spans="1:10" x14ac:dyDescent="0.25">
      <c r="A156" s="10">
        <v>1993</v>
      </c>
      <c r="B156" s="80" t="e">
        <f t="shared" si="8"/>
        <v>#VALUE!</v>
      </c>
      <c r="C156" s="5">
        <v>6878.7179999999998</v>
      </c>
      <c r="D156" s="77" t="e">
        <f t="shared" si="7"/>
        <v>#VALUE!</v>
      </c>
    </row>
    <row r="157" spans="1:10" x14ac:dyDescent="0.25">
      <c r="A157" s="10">
        <v>1994</v>
      </c>
      <c r="B157" s="80">
        <f t="shared" si="8"/>
        <v>5.1758210900000003</v>
      </c>
      <c r="C157" s="5">
        <v>7308.7550000000001</v>
      </c>
      <c r="D157" s="77">
        <f t="shared" si="7"/>
        <v>7.0816727199092054E-13</v>
      </c>
    </row>
    <row r="158" spans="1:10" x14ac:dyDescent="0.25">
      <c r="A158" s="10">
        <v>1995</v>
      </c>
      <c r="B158" s="80">
        <f t="shared" si="8"/>
        <v>19.175912</v>
      </c>
      <c r="C158" s="5">
        <v>7664.06</v>
      </c>
      <c r="D158" s="77">
        <f t="shared" si="7"/>
        <v>2.5020566122916575E-12</v>
      </c>
    </row>
    <row r="159" spans="1:10" x14ac:dyDescent="0.25">
      <c r="A159" s="10">
        <v>1996</v>
      </c>
      <c r="B159" s="80">
        <f t="shared" si="8"/>
        <v>18.6128176</v>
      </c>
      <c r="C159" s="5">
        <v>8100.201</v>
      </c>
      <c r="D159" s="77">
        <f t="shared" si="7"/>
        <v>2.2978216960295183E-12</v>
      </c>
    </row>
    <row r="160" spans="1:10" x14ac:dyDescent="0.25">
      <c r="A160" s="10">
        <v>1997</v>
      </c>
      <c r="B160" s="80" t="e">
        <f t="shared" si="8"/>
        <v>#VALUE!</v>
      </c>
      <c r="C160" s="5">
        <v>8608.5149999999994</v>
      </c>
      <c r="D160" s="77" t="e">
        <f t="shared" si="7"/>
        <v>#VALUE!</v>
      </c>
    </row>
    <row r="161" spans="1:4" x14ac:dyDescent="0.25">
      <c r="A161" s="10">
        <v>1998</v>
      </c>
      <c r="B161" s="80" t="e">
        <f t="shared" si="8"/>
        <v>#VALUE!</v>
      </c>
      <c r="C161" s="5">
        <v>9089.1679999999997</v>
      </c>
      <c r="D161" s="77" t="e">
        <f t="shared" si="7"/>
        <v>#VALUE!</v>
      </c>
    </row>
    <row r="162" spans="1:4" x14ac:dyDescent="0.25">
      <c r="A162" s="10">
        <v>1999</v>
      </c>
      <c r="B162" s="80" t="e">
        <f t="shared" si="8"/>
        <v>#VALUE!</v>
      </c>
      <c r="C162" s="5">
        <v>9660.6239999999998</v>
      </c>
      <c r="D162" s="77" t="e">
        <f t="shared" si="7"/>
        <v>#VALUE!</v>
      </c>
    </row>
    <row r="163" spans="1:4" x14ac:dyDescent="0.25">
      <c r="A163" s="10">
        <v>2000</v>
      </c>
      <c r="B163" s="80">
        <f t="shared" si="8"/>
        <v>22.640009572</v>
      </c>
      <c r="C163" s="5">
        <v>10284.779</v>
      </c>
      <c r="D163" s="77">
        <f t="shared" si="7"/>
        <v>2.2013122082642707E-12</v>
      </c>
    </row>
    <row r="164" spans="1:4" x14ac:dyDescent="0.25">
      <c r="A164" s="10">
        <v>2001</v>
      </c>
      <c r="B164" s="80" t="e">
        <f t="shared" si="8"/>
        <v>#VALUE!</v>
      </c>
      <c r="C164" s="5">
        <v>10621.824000000001</v>
      </c>
      <c r="D164" s="77" t="e">
        <f t="shared" si="7"/>
        <v>#VALUE!</v>
      </c>
    </row>
    <row r="165" spans="1:4" x14ac:dyDescent="0.25">
      <c r="A165" s="10">
        <v>2002</v>
      </c>
      <c r="B165" s="80">
        <f t="shared" si="8"/>
        <v>19.855439350000001</v>
      </c>
      <c r="C165" s="5">
        <v>10977.513999999999</v>
      </c>
      <c r="D165" s="77">
        <f t="shared" si="7"/>
        <v>1.8087373288706353E-12</v>
      </c>
    </row>
    <row r="166" spans="1:4" x14ac:dyDescent="0.25">
      <c r="A166" s="10">
        <v>2003</v>
      </c>
      <c r="B166" s="80">
        <f t="shared" si="8"/>
        <v>16.820433568999999</v>
      </c>
      <c r="C166" s="5">
        <v>11510.67</v>
      </c>
      <c r="D166" s="77">
        <f t="shared" si="7"/>
        <v>1.4612905737893623E-12</v>
      </c>
    </row>
    <row r="167" spans="1:4" x14ac:dyDescent="0.25">
      <c r="A167" s="10">
        <v>2004</v>
      </c>
      <c r="B167" s="80">
        <f t="shared" si="8"/>
        <v>9.0791770180000011</v>
      </c>
      <c r="C167" s="5">
        <v>12274.928</v>
      </c>
      <c r="D167" s="77">
        <f t="shared" si="7"/>
        <v>7.3965216072957835E-13</v>
      </c>
    </row>
    <row r="168" spans="1:4" x14ac:dyDescent="0.25">
      <c r="A168" s="10">
        <v>2005</v>
      </c>
      <c r="B168" s="80">
        <f t="shared" si="8"/>
        <v>17.797491511</v>
      </c>
      <c r="C168" s="5">
        <v>13093.726000000001</v>
      </c>
      <c r="D168" s="77">
        <f t="shared" si="7"/>
        <v>1.3592381199209453E-12</v>
      </c>
    </row>
    <row r="169" spans="1:4" x14ac:dyDescent="0.25">
      <c r="A169" s="10">
        <v>2006</v>
      </c>
      <c r="B169" s="80">
        <f t="shared" si="8"/>
        <v>17.431362778</v>
      </c>
      <c r="C169" s="5">
        <v>13855.888000000001</v>
      </c>
      <c r="D169" s="77">
        <f t="shared" si="7"/>
        <v>1.258047320965643E-12</v>
      </c>
    </row>
    <row r="170" spans="1:4" x14ac:dyDescent="0.25">
      <c r="A170" s="10">
        <v>2007</v>
      </c>
      <c r="B170" s="80">
        <f t="shared" si="8"/>
        <v>22.135063560000003</v>
      </c>
      <c r="C170" s="5">
        <v>14477.635</v>
      </c>
      <c r="D170" s="77">
        <f t="shared" si="7"/>
        <v>1.5289143261313055E-12</v>
      </c>
    </row>
    <row r="171" spans="1:4" x14ac:dyDescent="0.25">
      <c r="A171" s="10">
        <v>2008</v>
      </c>
      <c r="B171" s="80">
        <f t="shared" si="8"/>
        <v>33.683987864999999</v>
      </c>
      <c r="C171" s="5">
        <v>14718.582</v>
      </c>
      <c r="D171" s="77">
        <f t="shared" si="7"/>
        <v>2.2885348510474717E-12</v>
      </c>
    </row>
    <row r="172" spans="1:4" x14ac:dyDescent="0.25">
      <c r="A172" s="10">
        <v>2009</v>
      </c>
      <c r="B172" s="80">
        <f t="shared" si="8"/>
        <v>29.724785110000003</v>
      </c>
      <c r="C172" s="5">
        <v>14418.739</v>
      </c>
      <c r="D172" s="77">
        <f t="shared" si="7"/>
        <v>2.0615384681004357E-12</v>
      </c>
    </row>
    <row r="173" spans="1:4" x14ac:dyDescent="0.25">
      <c r="A173" s="10">
        <v>2010</v>
      </c>
      <c r="B173" s="80">
        <f t="shared" si="8"/>
        <v>40.215627857000001</v>
      </c>
      <c r="C173" s="5">
        <v>14964.371999999999</v>
      </c>
      <c r="D173" s="77">
        <f t="shared" si="7"/>
        <v>2.6874250290623627E-12</v>
      </c>
    </row>
    <row r="174" spans="1:4" x14ac:dyDescent="0.25">
      <c r="A174" s="10">
        <v>2011</v>
      </c>
      <c r="B174" s="80">
        <f t="shared" si="8"/>
        <v>57.537067323000002</v>
      </c>
      <c r="C174" s="5">
        <v>15517.925999999999</v>
      </c>
      <c r="D174" s="77">
        <f t="shared" si="7"/>
        <v>3.7077807513065861E-12</v>
      </c>
    </row>
    <row r="175" spans="1:4" x14ac:dyDescent="0.25">
      <c r="A175" s="10">
        <v>2012</v>
      </c>
      <c r="B175" s="80">
        <f t="shared" si="8"/>
        <v>81.67837918299999</v>
      </c>
      <c r="C175" s="5">
        <v>16155.254999999999</v>
      </c>
      <c r="D175" s="77">
        <f t="shared" si="7"/>
        <v>5.055839674644565E-12</v>
      </c>
    </row>
    <row r="176" spans="1:4" x14ac:dyDescent="0.25">
      <c r="A176" s="10">
        <v>2013</v>
      </c>
      <c r="B176" s="80">
        <f t="shared" si="8"/>
        <v>143.858102989</v>
      </c>
      <c r="C176" s="5">
        <v>16663.16</v>
      </c>
      <c r="D176" s="77">
        <f t="shared" si="7"/>
        <v>8.6333026262125542E-12</v>
      </c>
    </row>
    <row r="177" spans="1:10" x14ac:dyDescent="0.25">
      <c r="A177" s="10">
        <v>2014</v>
      </c>
      <c r="B177" s="80">
        <f t="shared" si="8"/>
        <v>217.69988715099998</v>
      </c>
      <c r="C177" s="5">
        <v>17348.071499999998</v>
      </c>
      <c r="D177" s="77">
        <f t="shared" si="7"/>
        <v>1.2548938776912466E-11</v>
      </c>
    </row>
    <row r="178" spans="1:10" x14ac:dyDescent="0.25">
      <c r="A178" s="11">
        <v>2015</v>
      </c>
      <c r="B178" s="80">
        <f t="shared" si="8"/>
        <v>167.278326045</v>
      </c>
      <c r="C178" s="5">
        <v>17946.995999999999</v>
      </c>
      <c r="D178" s="83">
        <f t="shared" si="7"/>
        <v>9.3206866511253473E-12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75" x14ac:dyDescent="0.25">
      <c r="A183" s="12" t="s">
        <v>3</v>
      </c>
      <c r="B183" s="13" t="s">
        <v>149</v>
      </c>
      <c r="C183" s="13" t="s">
        <v>150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80">
        <f>B154</f>
        <v>2.257086819</v>
      </c>
      <c r="C184" s="80">
        <f>Tabla116192640[[#This Row],[Balanza Comercial Absoluta Colombia 
(US$ millones)]]/2</f>
        <v>1.1285434095</v>
      </c>
      <c r="D184" s="5">
        <v>41239.551378248201</v>
      </c>
      <c r="E184" s="64">
        <f t="shared" ref="E184:E208" si="9">C184/(D184*1000000)</f>
        <v>2.7365559803234186E-11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80">
        <f t="shared" ref="B185:B208" si="10">B155</f>
        <v>4.6028069089999999</v>
      </c>
      <c r="C185" s="80">
        <f>Tabla116192640[[#This Row],[Balanza Comercial Absoluta Colombia 
(US$ millones)]]/2</f>
        <v>2.3014034544999999</v>
      </c>
      <c r="D185" s="5">
        <v>49279.585355094838</v>
      </c>
      <c r="E185" s="64">
        <f t="shared" si="9"/>
        <v>4.6700950057041545E-11</v>
      </c>
    </row>
    <row r="186" spans="1:10" x14ac:dyDescent="0.25">
      <c r="A186" s="10">
        <v>1993</v>
      </c>
      <c r="B186" s="80" t="e">
        <f t="shared" si="10"/>
        <v>#VALUE!</v>
      </c>
      <c r="C186" s="80" t="e">
        <f>Tabla116192640[[#This Row],[Balanza Comercial Absoluta Colombia 
(US$ millones)]]/2</f>
        <v>#VALUE!</v>
      </c>
      <c r="D186" s="5">
        <v>55802.540100979531</v>
      </c>
      <c r="E186" s="64" t="e">
        <f t="shared" si="9"/>
        <v>#VALUE!</v>
      </c>
    </row>
    <row r="187" spans="1:10" x14ac:dyDescent="0.25">
      <c r="A187" s="10">
        <v>1994</v>
      </c>
      <c r="B187" s="80">
        <f t="shared" si="10"/>
        <v>5.1758210900000003</v>
      </c>
      <c r="C187" s="80">
        <f>Tabla116192640[[#This Row],[Balanza Comercial Absoluta Colombia 
(US$ millones)]]/2</f>
        <v>2.5879105450000002</v>
      </c>
      <c r="D187" s="5">
        <v>81703.496603993364</v>
      </c>
      <c r="E187" s="64">
        <f t="shared" si="9"/>
        <v>3.1674416060101801E-11</v>
      </c>
    </row>
    <row r="188" spans="1:10" x14ac:dyDescent="0.25">
      <c r="A188" s="10">
        <v>1995</v>
      </c>
      <c r="B188" s="80">
        <f t="shared" si="10"/>
        <v>19.175912</v>
      </c>
      <c r="C188" s="80">
        <f>Tabla116192640[[#This Row],[Balanza Comercial Absoluta Colombia 
(US$ millones)]]/2</f>
        <v>9.5879560000000001</v>
      </c>
      <c r="D188" s="5">
        <v>92507.277798198498</v>
      </c>
      <c r="E188" s="64">
        <f t="shared" si="9"/>
        <v>1.0364542367051165E-10</v>
      </c>
    </row>
    <row r="189" spans="1:10" x14ac:dyDescent="0.25">
      <c r="A189" s="10">
        <v>1996</v>
      </c>
      <c r="B189" s="80">
        <f t="shared" si="10"/>
        <v>18.6128176</v>
      </c>
      <c r="C189" s="80">
        <f>Tabla116192640[[#This Row],[Balanza Comercial Absoluta Colombia 
(US$ millones)]]/2</f>
        <v>9.3064087999999998</v>
      </c>
      <c r="D189" s="5">
        <v>97160.111573336981</v>
      </c>
      <c r="E189" s="64">
        <f t="shared" si="9"/>
        <v>9.5784253942272103E-11</v>
      </c>
    </row>
    <row r="190" spans="1:10" x14ac:dyDescent="0.25">
      <c r="A190" s="10">
        <v>1997</v>
      </c>
      <c r="B190" s="80" t="e">
        <f t="shared" si="10"/>
        <v>#VALUE!</v>
      </c>
      <c r="C190" s="80" t="e">
        <f>Tabla116192640[[#This Row],[Balanza Comercial Absoluta Colombia 
(US$ millones)]]/2</f>
        <v>#VALUE!</v>
      </c>
      <c r="D190" s="5">
        <v>106659.5079635281</v>
      </c>
      <c r="E190" s="64" t="e">
        <f t="shared" si="9"/>
        <v>#VALUE!</v>
      </c>
    </row>
    <row r="191" spans="1:10" x14ac:dyDescent="0.25">
      <c r="A191" s="10">
        <v>1998</v>
      </c>
      <c r="B191" s="80" t="e">
        <f t="shared" si="10"/>
        <v>#VALUE!</v>
      </c>
      <c r="C191" s="80" t="e">
        <f>Tabla116192640[[#This Row],[Balanza Comercial Absoluta Colombia 
(US$ millones)]]/2</f>
        <v>#VALUE!</v>
      </c>
      <c r="D191" s="5">
        <v>98443.743190849113</v>
      </c>
      <c r="E191" s="64" t="e">
        <f t="shared" si="9"/>
        <v>#VALUE!</v>
      </c>
    </row>
    <row r="192" spans="1:10" x14ac:dyDescent="0.25">
      <c r="A192" s="10">
        <v>1999</v>
      </c>
      <c r="B192" s="80" t="e">
        <f t="shared" si="10"/>
        <v>#VALUE!</v>
      </c>
      <c r="C192" s="80" t="e">
        <f>Tabla116192640[[#This Row],[Balanza Comercial Absoluta Colombia 
(US$ millones)]]/2</f>
        <v>#VALUE!</v>
      </c>
      <c r="D192" s="5">
        <v>86186.156584381664</v>
      </c>
      <c r="E192" s="64" t="e">
        <f t="shared" si="9"/>
        <v>#VALUE!</v>
      </c>
    </row>
    <row r="193" spans="1:5" x14ac:dyDescent="0.25">
      <c r="A193" s="10">
        <v>2000</v>
      </c>
      <c r="B193" s="80">
        <f t="shared" si="10"/>
        <v>22.640009572</v>
      </c>
      <c r="C193" s="80">
        <f>Tabla116192640[[#This Row],[Balanza Comercial Absoluta Colombia 
(US$ millones)]]/2</f>
        <v>11.320004786</v>
      </c>
      <c r="D193" s="5">
        <v>99886.577575544405</v>
      </c>
      <c r="E193" s="64">
        <f t="shared" si="9"/>
        <v>1.1332858789198838E-10</v>
      </c>
    </row>
    <row r="194" spans="1:5" x14ac:dyDescent="0.25">
      <c r="A194" s="10">
        <v>2001</v>
      </c>
      <c r="B194" s="80" t="e">
        <f t="shared" si="10"/>
        <v>#VALUE!</v>
      </c>
      <c r="C194" s="80" t="e">
        <f>Tabla116192640[[#This Row],[Balanza Comercial Absoluta Colombia 
(US$ millones)]]/2</f>
        <v>#VALUE!</v>
      </c>
      <c r="D194" s="5">
        <v>98203.544965267793</v>
      </c>
      <c r="E194" s="64" t="e">
        <f t="shared" si="9"/>
        <v>#VALUE!</v>
      </c>
    </row>
    <row r="195" spans="1:5" x14ac:dyDescent="0.25">
      <c r="A195" s="10">
        <v>2002</v>
      </c>
      <c r="B195" s="80">
        <f t="shared" si="10"/>
        <v>19.855439350000001</v>
      </c>
      <c r="C195" s="80">
        <f>Tabla116192640[[#This Row],[Balanza Comercial Absoluta Colombia 
(US$ millones)]]/2</f>
        <v>9.9277196750000005</v>
      </c>
      <c r="D195" s="5">
        <v>97933.392356425305</v>
      </c>
      <c r="E195" s="64">
        <f t="shared" si="9"/>
        <v>1.0137216158987322E-10</v>
      </c>
    </row>
    <row r="196" spans="1:5" x14ac:dyDescent="0.25">
      <c r="A196" s="10">
        <v>2003</v>
      </c>
      <c r="B196" s="80">
        <f t="shared" si="10"/>
        <v>16.820433568999999</v>
      </c>
      <c r="C196" s="80">
        <f>Tabla116192640[[#This Row],[Balanza Comercial Absoluta Colombia 
(US$ millones)]]/2</f>
        <v>8.4102167844999993</v>
      </c>
      <c r="D196" s="5">
        <v>94684.582573316715</v>
      </c>
      <c r="E196" s="64">
        <f t="shared" si="9"/>
        <v>8.8823508072053356E-11</v>
      </c>
    </row>
    <row r="197" spans="1:5" x14ac:dyDescent="0.25">
      <c r="A197" s="10">
        <v>2004</v>
      </c>
      <c r="B197" s="80">
        <f t="shared" si="10"/>
        <v>9.0791770180000011</v>
      </c>
      <c r="C197" s="80">
        <f>Tabla116192640[[#This Row],[Balanza Comercial Absoluta Colombia 
(US$ millones)]]/2</f>
        <v>4.5395885090000005</v>
      </c>
      <c r="D197" s="5">
        <v>117074.86551527939</v>
      </c>
      <c r="E197" s="64">
        <f t="shared" si="9"/>
        <v>3.8775090528782551E-11</v>
      </c>
    </row>
    <row r="198" spans="1:5" x14ac:dyDescent="0.25">
      <c r="A198" s="10">
        <v>2005</v>
      </c>
      <c r="B198" s="80">
        <f t="shared" si="10"/>
        <v>17.797491511</v>
      </c>
      <c r="C198" s="80">
        <f>Tabla116192640[[#This Row],[Balanza Comercial Absoluta Colombia 
(US$ millones)]]/2</f>
        <v>8.8987457555000002</v>
      </c>
      <c r="D198" s="5">
        <v>146566.26631057015</v>
      </c>
      <c r="E198" s="64">
        <f t="shared" si="9"/>
        <v>6.0714828722209426E-11</v>
      </c>
    </row>
    <row r="199" spans="1:5" x14ac:dyDescent="0.25">
      <c r="A199" s="10">
        <v>2006</v>
      </c>
      <c r="B199" s="80">
        <f t="shared" si="10"/>
        <v>17.431362778</v>
      </c>
      <c r="C199" s="80">
        <f>Tabla116192640[[#This Row],[Balanza Comercial Absoluta Colombia 
(US$ millones)]]/2</f>
        <v>8.7156813890000002</v>
      </c>
      <c r="D199" s="5">
        <v>162590.1460964143</v>
      </c>
      <c r="E199" s="64">
        <f t="shared" si="9"/>
        <v>5.3605225152031595E-11</v>
      </c>
    </row>
    <row r="200" spans="1:5" x14ac:dyDescent="0.25">
      <c r="A200" s="10">
        <v>2007</v>
      </c>
      <c r="B200" s="80">
        <f t="shared" si="10"/>
        <v>22.135063560000003</v>
      </c>
      <c r="C200" s="80">
        <f>Tabla116192640[[#This Row],[Balanza Comercial Absoluta Colombia 
(US$ millones)]]/2</f>
        <v>11.067531780000001</v>
      </c>
      <c r="D200" s="5">
        <v>207416.49464237894</v>
      </c>
      <c r="E200" s="64">
        <f t="shared" si="9"/>
        <v>5.3358976098223504E-11</v>
      </c>
    </row>
    <row r="201" spans="1:5" x14ac:dyDescent="0.25">
      <c r="A201" s="10">
        <v>2008</v>
      </c>
      <c r="B201" s="80">
        <f t="shared" si="10"/>
        <v>33.683987864999999</v>
      </c>
      <c r="C201" s="80">
        <f>Tabla116192640[[#This Row],[Balanza Comercial Absoluta Colombia 
(US$ millones)]]/2</f>
        <v>16.841993932499999</v>
      </c>
      <c r="D201" s="5">
        <v>243982.43787084011</v>
      </c>
      <c r="E201" s="64">
        <f t="shared" si="9"/>
        <v>6.9029533762654865E-11</v>
      </c>
    </row>
    <row r="202" spans="1:5" x14ac:dyDescent="0.25">
      <c r="A202" s="10">
        <v>2009</v>
      </c>
      <c r="B202" s="80">
        <f t="shared" si="10"/>
        <v>29.724785110000003</v>
      </c>
      <c r="C202" s="80">
        <f>Tabla116192640[[#This Row],[Balanza Comercial Absoluta Colombia 
(US$ millones)]]/2</f>
        <v>14.862392555000001</v>
      </c>
      <c r="D202" s="5">
        <v>233821.6705442575</v>
      </c>
      <c r="E202" s="64">
        <f t="shared" si="9"/>
        <v>6.3562938885884252E-11</v>
      </c>
    </row>
    <row r="203" spans="1:5" x14ac:dyDescent="0.25">
      <c r="A203" s="10">
        <v>2010</v>
      </c>
      <c r="B203" s="80">
        <f t="shared" si="10"/>
        <v>40.215627857000001</v>
      </c>
      <c r="C203" s="80">
        <f>Tabla116192640[[#This Row],[Balanza Comercial Absoluta Colombia 
(US$ millones)]]/2</f>
        <v>20.107813928500001</v>
      </c>
      <c r="D203" s="5">
        <v>287018.18463752925</v>
      </c>
      <c r="E203" s="64">
        <f t="shared" si="9"/>
        <v>7.0057630508303304E-11</v>
      </c>
    </row>
    <row r="204" spans="1:5" x14ac:dyDescent="0.25">
      <c r="A204" s="10">
        <v>2011</v>
      </c>
      <c r="B204" s="80">
        <f t="shared" si="10"/>
        <v>57.537067323000002</v>
      </c>
      <c r="C204" s="80">
        <f>Tabla116192640[[#This Row],[Balanza Comercial Absoluta Colombia 
(US$ millones)]]/2</f>
        <v>28.768533661500001</v>
      </c>
      <c r="D204" s="5">
        <v>335415.15670218616</v>
      </c>
      <c r="E204" s="64">
        <f t="shared" si="9"/>
        <v>8.5769927466466503E-11</v>
      </c>
    </row>
    <row r="205" spans="1:5" x14ac:dyDescent="0.25">
      <c r="A205" s="10">
        <v>2012</v>
      </c>
      <c r="B205" s="80">
        <f t="shared" si="10"/>
        <v>81.67837918299999</v>
      </c>
      <c r="C205" s="80">
        <f>Tabla116192640[[#This Row],[Balanza Comercial Absoluta Colombia 
(US$ millones)]]/2</f>
        <v>40.839189591499995</v>
      </c>
      <c r="D205" s="5">
        <v>369659.70037551981</v>
      </c>
      <c r="E205" s="64">
        <f t="shared" si="9"/>
        <v>1.104777976880179E-10</v>
      </c>
    </row>
    <row r="206" spans="1:5" x14ac:dyDescent="0.25">
      <c r="A206" s="10">
        <v>2013</v>
      </c>
      <c r="B206" s="80">
        <f t="shared" si="10"/>
        <v>143.858102989</v>
      </c>
      <c r="C206" s="80">
        <f>Tabla116192640[[#This Row],[Balanza Comercial Absoluta Colombia 
(US$ millones)]]/2</f>
        <v>71.929051494500001</v>
      </c>
      <c r="D206" s="5">
        <v>380191.88186037214</v>
      </c>
      <c r="E206" s="64">
        <f t="shared" si="9"/>
        <v>1.8919144496861299E-10</v>
      </c>
    </row>
    <row r="207" spans="1:5" x14ac:dyDescent="0.25">
      <c r="A207" s="10">
        <v>2014</v>
      </c>
      <c r="B207" s="80">
        <f t="shared" si="10"/>
        <v>217.69988715099998</v>
      </c>
      <c r="C207" s="80">
        <f>Tabla116192640[[#This Row],[Balanza Comercial Absoluta Colombia 
(US$ millones)]]/2</f>
        <v>108.84994357549999</v>
      </c>
      <c r="D207" s="5">
        <v>378416.02053371473</v>
      </c>
      <c r="E207" s="64">
        <f t="shared" si="9"/>
        <v>2.8764623501399059E-10</v>
      </c>
    </row>
    <row r="208" spans="1:5" x14ac:dyDescent="0.25">
      <c r="A208" s="11">
        <v>2015</v>
      </c>
      <c r="B208" s="80">
        <f t="shared" si="10"/>
        <v>167.278326045</v>
      </c>
      <c r="C208" s="85">
        <f>Tabla116192640[[#This Row],[Balanza Comercial Absoluta Colombia 
(US$ millones)]]/2</f>
        <v>83.6391630225</v>
      </c>
      <c r="D208" s="6">
        <v>292080.15563330991</v>
      </c>
      <c r="E208" s="64">
        <f t="shared" si="9"/>
        <v>2.8635688323688868E-10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60" x14ac:dyDescent="0.25">
      <c r="A212" s="28" t="s">
        <v>3</v>
      </c>
      <c r="B212" s="29" t="s">
        <v>148</v>
      </c>
      <c r="C212" s="29" t="s">
        <v>151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80">
        <f>B125</f>
        <v>2.257086819</v>
      </c>
      <c r="C213" s="80">
        <f>Tabla11617212741[[#This Row],[Balanza Comercial Absoluta USA
(US$ millones)]]/2</f>
        <v>1.1285434095</v>
      </c>
      <c r="D213" s="5">
        <v>6174.0429999999997</v>
      </c>
      <c r="E213" s="86">
        <f t="shared" ref="E213:E237" si="11">(C213/D213)/1000000</f>
        <v>1.8278839481681616E-10</v>
      </c>
    </row>
    <row r="214" spans="1:10" x14ac:dyDescent="0.25">
      <c r="A214" s="31">
        <v>1992</v>
      </c>
      <c r="B214" s="80">
        <f t="shared" ref="B214:B237" si="12">B126</f>
        <v>4.6028069089999999</v>
      </c>
      <c r="C214" s="80">
        <f>Tabla11617212741[[#This Row],[Balanza Comercial Absoluta USA
(US$ millones)]]/2</f>
        <v>2.3014034544999999</v>
      </c>
      <c r="D214" s="5">
        <v>6539.299</v>
      </c>
      <c r="E214" s="86">
        <f t="shared" si="11"/>
        <v>3.5193427529464552E-10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80" t="e">
        <f t="shared" si="12"/>
        <v>#VALUE!</v>
      </c>
      <c r="C215" s="80" t="e">
        <f>Tabla11617212741[[#This Row],[Balanza Comercial Absoluta USA
(US$ millones)]]/2</f>
        <v>#VALUE!</v>
      </c>
      <c r="D215" s="5">
        <v>6878.7179999999998</v>
      </c>
      <c r="E215" s="86" t="e">
        <f t="shared" si="11"/>
        <v>#VALUE!</v>
      </c>
    </row>
    <row r="216" spans="1:10" x14ac:dyDescent="0.25">
      <c r="A216" s="31">
        <v>1994</v>
      </c>
      <c r="B216" s="80">
        <f t="shared" si="12"/>
        <v>5.1758210900000003</v>
      </c>
      <c r="C216" s="80">
        <f>Tabla11617212741[[#This Row],[Balanza Comercial Absoluta USA
(US$ millones)]]/2</f>
        <v>2.5879105450000002</v>
      </c>
      <c r="D216" s="5">
        <v>7308.7550000000001</v>
      </c>
      <c r="E216" s="86">
        <f t="shared" si="11"/>
        <v>3.5408363599546026E-10</v>
      </c>
    </row>
    <row r="217" spans="1:10" x14ac:dyDescent="0.25">
      <c r="A217" s="31">
        <v>1995</v>
      </c>
      <c r="B217" s="80">
        <f t="shared" si="12"/>
        <v>19.175912</v>
      </c>
      <c r="C217" s="80">
        <f>Tabla11617212741[[#This Row],[Balanza Comercial Absoluta USA
(US$ millones)]]/2</f>
        <v>9.5879560000000001</v>
      </c>
      <c r="D217" s="5">
        <v>7664.06</v>
      </c>
      <c r="E217" s="86">
        <f t="shared" si="11"/>
        <v>1.2510283061458287E-9</v>
      </c>
    </row>
    <row r="218" spans="1:10" x14ac:dyDescent="0.25">
      <c r="A218" s="31">
        <v>1996</v>
      </c>
      <c r="B218" s="80">
        <f t="shared" si="12"/>
        <v>18.6128176</v>
      </c>
      <c r="C218" s="80">
        <f>Tabla11617212741[[#This Row],[Balanza Comercial Absoluta USA
(US$ millones)]]/2</f>
        <v>9.3064087999999998</v>
      </c>
      <c r="D218" s="5">
        <v>8100.201</v>
      </c>
      <c r="E218" s="86">
        <f t="shared" si="11"/>
        <v>1.1489108480147591E-9</v>
      </c>
    </row>
    <row r="219" spans="1:10" x14ac:dyDescent="0.25">
      <c r="A219" s="31">
        <v>1997</v>
      </c>
      <c r="B219" s="80" t="e">
        <f t="shared" si="12"/>
        <v>#VALUE!</v>
      </c>
      <c r="C219" s="80" t="e">
        <f>Tabla11617212741[[#This Row],[Balanza Comercial Absoluta USA
(US$ millones)]]/2</f>
        <v>#VALUE!</v>
      </c>
      <c r="D219" s="5">
        <v>8608.5149999999994</v>
      </c>
      <c r="E219" s="86" t="e">
        <f t="shared" si="11"/>
        <v>#VALUE!</v>
      </c>
    </row>
    <row r="220" spans="1:10" x14ac:dyDescent="0.25">
      <c r="A220" s="31">
        <v>1998</v>
      </c>
      <c r="B220" s="80" t="e">
        <f t="shared" si="12"/>
        <v>#VALUE!</v>
      </c>
      <c r="C220" s="80" t="e">
        <f>Tabla11617212741[[#This Row],[Balanza Comercial Absoluta USA
(US$ millones)]]/2</f>
        <v>#VALUE!</v>
      </c>
      <c r="D220" s="5">
        <v>9089.1679999999997</v>
      </c>
      <c r="E220" s="86" t="e">
        <f t="shared" si="11"/>
        <v>#VALUE!</v>
      </c>
    </row>
    <row r="221" spans="1:10" x14ac:dyDescent="0.25">
      <c r="A221" s="31">
        <v>1999</v>
      </c>
      <c r="B221" s="80" t="e">
        <f t="shared" si="12"/>
        <v>#VALUE!</v>
      </c>
      <c r="C221" s="80" t="e">
        <f>Tabla11617212741[[#This Row],[Balanza Comercial Absoluta USA
(US$ millones)]]/2</f>
        <v>#VALUE!</v>
      </c>
      <c r="D221" s="5">
        <v>9660.6239999999998</v>
      </c>
      <c r="E221" s="86" t="e">
        <f t="shared" si="11"/>
        <v>#VALUE!</v>
      </c>
    </row>
    <row r="222" spans="1:10" x14ac:dyDescent="0.25">
      <c r="A222" s="31">
        <v>2000</v>
      </c>
      <c r="B222" s="80">
        <f t="shared" si="12"/>
        <v>22.640009572</v>
      </c>
      <c r="C222" s="80">
        <f>Tabla11617212741[[#This Row],[Balanza Comercial Absoluta USA
(US$ millones)]]/2</f>
        <v>11.320004786</v>
      </c>
      <c r="D222" s="5">
        <v>10284.779</v>
      </c>
      <c r="E222" s="86">
        <f t="shared" si="11"/>
        <v>1.1006561041321355E-9</v>
      </c>
    </row>
    <row r="223" spans="1:10" x14ac:dyDescent="0.25">
      <c r="A223" s="31">
        <v>2001</v>
      </c>
      <c r="B223" s="80" t="e">
        <f t="shared" si="12"/>
        <v>#VALUE!</v>
      </c>
      <c r="C223" s="80" t="e">
        <f>Tabla11617212741[[#This Row],[Balanza Comercial Absoluta USA
(US$ millones)]]/2</f>
        <v>#VALUE!</v>
      </c>
      <c r="D223" s="5">
        <v>10621.824000000001</v>
      </c>
      <c r="E223" s="86" t="e">
        <f t="shared" si="11"/>
        <v>#VALUE!</v>
      </c>
    </row>
    <row r="224" spans="1:10" x14ac:dyDescent="0.25">
      <c r="A224" s="31">
        <v>2002</v>
      </c>
      <c r="B224" s="80">
        <f t="shared" si="12"/>
        <v>19.855439350000001</v>
      </c>
      <c r="C224" s="80">
        <f>Tabla11617212741[[#This Row],[Balanza Comercial Absoluta USA
(US$ millones)]]/2</f>
        <v>9.9277196750000005</v>
      </c>
      <c r="D224" s="5">
        <v>10977.513999999999</v>
      </c>
      <c r="E224" s="86">
        <f t="shared" si="11"/>
        <v>9.0436866443531761E-10</v>
      </c>
    </row>
    <row r="225" spans="1:5" x14ac:dyDescent="0.25">
      <c r="A225" s="31">
        <v>2003</v>
      </c>
      <c r="B225" s="80">
        <f t="shared" si="12"/>
        <v>16.820433568999999</v>
      </c>
      <c r="C225" s="80">
        <f>Tabla11617212741[[#This Row],[Balanza Comercial Absoluta USA
(US$ millones)]]/2</f>
        <v>8.4102167844999993</v>
      </c>
      <c r="D225" s="5">
        <v>11510.67</v>
      </c>
      <c r="E225" s="86">
        <f t="shared" si="11"/>
        <v>7.3064528689468112E-10</v>
      </c>
    </row>
    <row r="226" spans="1:5" x14ac:dyDescent="0.25">
      <c r="A226" s="31">
        <v>2004</v>
      </c>
      <c r="B226" s="80">
        <f t="shared" si="12"/>
        <v>9.0791770180000011</v>
      </c>
      <c r="C226" s="80">
        <f>Tabla11617212741[[#This Row],[Balanza Comercial Absoluta USA
(US$ millones)]]/2</f>
        <v>4.5395885090000005</v>
      </c>
      <c r="D226" s="5">
        <v>12274.928</v>
      </c>
      <c r="E226" s="86">
        <f t="shared" si="11"/>
        <v>3.6982608036478915E-10</v>
      </c>
    </row>
    <row r="227" spans="1:5" x14ac:dyDescent="0.25">
      <c r="A227" s="31">
        <v>2005</v>
      </c>
      <c r="B227" s="80">
        <f t="shared" si="12"/>
        <v>17.797491511</v>
      </c>
      <c r="C227" s="80">
        <f>Tabla11617212741[[#This Row],[Balanza Comercial Absoluta USA
(US$ millones)]]/2</f>
        <v>8.8987457555000002</v>
      </c>
      <c r="D227" s="5">
        <v>13093.726000000001</v>
      </c>
      <c r="E227" s="86">
        <f t="shared" si="11"/>
        <v>6.7961905996047268E-10</v>
      </c>
    </row>
    <row r="228" spans="1:5" x14ac:dyDescent="0.25">
      <c r="A228" s="31">
        <v>2006</v>
      </c>
      <c r="B228" s="80">
        <f t="shared" si="12"/>
        <v>17.431362778</v>
      </c>
      <c r="C228" s="80">
        <f>Tabla11617212741[[#This Row],[Balanza Comercial Absoluta USA
(US$ millones)]]/2</f>
        <v>8.7156813890000002</v>
      </c>
      <c r="D228" s="5">
        <v>13855.888000000001</v>
      </c>
      <c r="E228" s="86">
        <f t="shared" si="11"/>
        <v>6.2902366048282143E-10</v>
      </c>
    </row>
    <row r="229" spans="1:5" x14ac:dyDescent="0.25">
      <c r="A229" s="31">
        <v>2007</v>
      </c>
      <c r="B229" s="80">
        <f t="shared" si="12"/>
        <v>22.135063560000003</v>
      </c>
      <c r="C229" s="80">
        <f>Tabla11617212741[[#This Row],[Balanza Comercial Absoluta USA
(US$ millones)]]/2</f>
        <v>11.067531780000001</v>
      </c>
      <c r="D229" s="5">
        <v>14477.635</v>
      </c>
      <c r="E229" s="86">
        <f t="shared" si="11"/>
        <v>7.6445716306565277E-10</v>
      </c>
    </row>
    <row r="230" spans="1:5" x14ac:dyDescent="0.25">
      <c r="A230" s="31">
        <v>2008</v>
      </c>
      <c r="B230" s="80">
        <f t="shared" si="12"/>
        <v>33.683987864999999</v>
      </c>
      <c r="C230" s="80">
        <f>Tabla11617212741[[#This Row],[Balanza Comercial Absoluta USA
(US$ millones)]]/2</f>
        <v>16.841993932499999</v>
      </c>
      <c r="D230" s="5">
        <v>14718.582</v>
      </c>
      <c r="E230" s="86">
        <f t="shared" si="11"/>
        <v>1.1442674255237358E-9</v>
      </c>
    </row>
    <row r="231" spans="1:5" x14ac:dyDescent="0.25">
      <c r="A231" s="31">
        <v>2009</v>
      </c>
      <c r="B231" s="80">
        <f t="shared" si="12"/>
        <v>29.724785110000003</v>
      </c>
      <c r="C231" s="80">
        <f>Tabla11617212741[[#This Row],[Balanza Comercial Absoluta USA
(US$ millones)]]/2</f>
        <v>14.862392555000001</v>
      </c>
      <c r="D231" s="5">
        <v>14418.739</v>
      </c>
      <c r="E231" s="86">
        <f t="shared" si="11"/>
        <v>1.0307692340502177E-9</v>
      </c>
    </row>
    <row r="232" spans="1:5" x14ac:dyDescent="0.25">
      <c r="A232" s="31">
        <v>2010</v>
      </c>
      <c r="B232" s="80">
        <f t="shared" si="12"/>
        <v>40.215627857000001</v>
      </c>
      <c r="C232" s="80">
        <f>Tabla11617212741[[#This Row],[Balanza Comercial Absoluta USA
(US$ millones)]]/2</f>
        <v>20.107813928500001</v>
      </c>
      <c r="D232" s="5">
        <v>14964.371999999999</v>
      </c>
      <c r="E232" s="86">
        <f t="shared" si="11"/>
        <v>1.3437125145311814E-9</v>
      </c>
    </row>
    <row r="233" spans="1:5" x14ac:dyDescent="0.25">
      <c r="A233" s="31">
        <v>2011</v>
      </c>
      <c r="B233" s="80">
        <f t="shared" si="12"/>
        <v>57.537067323000002</v>
      </c>
      <c r="C233" s="80">
        <f>Tabla11617212741[[#This Row],[Balanza Comercial Absoluta USA
(US$ millones)]]/2</f>
        <v>28.768533661500001</v>
      </c>
      <c r="D233" s="5">
        <v>15517.925999999999</v>
      </c>
      <c r="E233" s="86">
        <f t="shared" si="11"/>
        <v>1.853890375653293E-9</v>
      </c>
    </row>
    <row r="234" spans="1:5" x14ac:dyDescent="0.25">
      <c r="A234" s="31">
        <v>2012</v>
      </c>
      <c r="B234" s="80">
        <f t="shared" si="12"/>
        <v>81.67837918299999</v>
      </c>
      <c r="C234" s="80">
        <f>Tabla11617212741[[#This Row],[Balanza Comercial Absoluta USA
(US$ millones)]]/2</f>
        <v>40.839189591499995</v>
      </c>
      <c r="D234" s="5">
        <v>16155.254999999999</v>
      </c>
      <c r="E234" s="86">
        <f t="shared" si="11"/>
        <v>2.5279198373222826E-9</v>
      </c>
    </row>
    <row r="235" spans="1:5" x14ac:dyDescent="0.25">
      <c r="A235" s="31">
        <v>2013</v>
      </c>
      <c r="B235" s="80">
        <f t="shared" si="12"/>
        <v>143.858102989</v>
      </c>
      <c r="C235" s="80">
        <f>Tabla11617212741[[#This Row],[Balanza Comercial Absoluta USA
(US$ millones)]]/2</f>
        <v>71.929051494500001</v>
      </c>
      <c r="D235" s="5">
        <v>16663.16</v>
      </c>
      <c r="E235" s="86">
        <f t="shared" si="11"/>
        <v>4.3166513131062777E-9</v>
      </c>
    </row>
    <row r="236" spans="1:5" x14ac:dyDescent="0.25">
      <c r="A236" s="31">
        <v>2014</v>
      </c>
      <c r="B236" s="80">
        <f t="shared" si="12"/>
        <v>217.69988715099998</v>
      </c>
      <c r="C236" s="80">
        <f>Tabla11617212741[[#This Row],[Balanza Comercial Absoluta USA
(US$ millones)]]/2</f>
        <v>108.84994357549999</v>
      </c>
      <c r="D236" s="5">
        <v>17348.071499999998</v>
      </c>
      <c r="E236" s="86">
        <f t="shared" si="11"/>
        <v>6.2744693884562325E-9</v>
      </c>
    </row>
    <row r="237" spans="1:5" x14ac:dyDescent="0.25">
      <c r="A237" s="31">
        <v>2015</v>
      </c>
      <c r="B237" s="80">
        <f t="shared" si="12"/>
        <v>167.278326045</v>
      </c>
      <c r="C237" s="80">
        <f>Tabla11617212741[[#This Row],[Balanza Comercial Absoluta USA
(US$ millones)]]/2</f>
        <v>83.6391630225</v>
      </c>
      <c r="D237" s="5">
        <v>17946.995999999999</v>
      </c>
      <c r="E237" s="86">
        <f t="shared" si="11"/>
        <v>4.6603433255626738E-9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1"/>
  <sheetViews>
    <sheetView topLeftCell="A156" zoomScale="80" zoomScaleNormal="80" workbookViewId="0">
      <selection activeCell="B17" sqref="B17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7" x14ac:dyDescent="0.25">
      <c r="A1" s="7" t="s">
        <v>30</v>
      </c>
    </row>
    <row r="4" spans="1:17" x14ac:dyDescent="0.25">
      <c r="A4" s="134" t="s">
        <v>31</v>
      </c>
      <c r="B4" s="134"/>
      <c r="C4" s="134"/>
      <c r="D4" s="134"/>
    </row>
    <row r="5" spans="1:17" ht="45" x14ac:dyDescent="0.25">
      <c r="A5" s="67" t="s">
        <v>3</v>
      </c>
      <c r="B5" s="34" t="s">
        <v>143</v>
      </c>
      <c r="C5" s="34" t="s">
        <v>68</v>
      </c>
      <c r="D5" s="34" t="s">
        <v>38</v>
      </c>
      <c r="O5">
        <v>2257000</v>
      </c>
      <c r="P5">
        <v>34830570</v>
      </c>
      <c r="Q5">
        <f>O5/P5</f>
        <v>6.4799398918823317E-2</v>
      </c>
    </row>
    <row r="6" spans="1:17" x14ac:dyDescent="0.25">
      <c r="A6" s="37">
        <v>1991</v>
      </c>
      <c r="B6" s="87">
        <f>'Export 01'!B2</f>
        <v>4819</v>
      </c>
      <c r="C6" s="39">
        <v>34830570</v>
      </c>
      <c r="D6" s="82">
        <f>(B6/C6)</f>
        <v>1.3835547336721736E-4</v>
      </c>
      <c r="F6" s="7" t="s">
        <v>69</v>
      </c>
      <c r="I6" s="1" t="s">
        <v>10</v>
      </c>
      <c r="J6" s="7" t="s">
        <v>70</v>
      </c>
    </row>
    <row r="7" spans="1:17" x14ac:dyDescent="0.25">
      <c r="A7" s="38">
        <v>1992</v>
      </c>
      <c r="B7" s="87">
        <f>'Export 01'!B3</f>
        <v>90909</v>
      </c>
      <c r="C7" s="40">
        <v>35520940</v>
      </c>
      <c r="D7" s="82">
        <f t="shared" ref="D7:D30" si="0">(B7/C7)</f>
        <v>2.5593072705846183E-3</v>
      </c>
    </row>
    <row r="8" spans="1:17" x14ac:dyDescent="0.25">
      <c r="A8" s="37">
        <v>1993</v>
      </c>
      <c r="B8" s="87" t="str">
        <f>'Export 01'!B4</f>
        <v>nd</v>
      </c>
      <c r="C8" s="39">
        <v>36207108</v>
      </c>
      <c r="D8" s="82" t="e">
        <f t="shared" si="0"/>
        <v>#VALUE!</v>
      </c>
    </row>
    <row r="9" spans="1:17" x14ac:dyDescent="0.25">
      <c r="A9" s="38">
        <v>1994</v>
      </c>
      <c r="B9" s="87">
        <f>'Export 01'!B5</f>
        <v>17090</v>
      </c>
      <c r="C9" s="40">
        <v>36853905</v>
      </c>
      <c r="D9" s="82">
        <f t="shared" si="0"/>
        <v>4.6372290806089613E-4</v>
      </c>
    </row>
    <row r="10" spans="1:17" x14ac:dyDescent="0.25">
      <c r="A10" s="37">
        <v>1995</v>
      </c>
      <c r="B10" s="87">
        <f>'Export 01'!B6</f>
        <v>36000</v>
      </c>
      <c r="C10" s="39">
        <v>37472184</v>
      </c>
      <c r="D10" s="82">
        <f t="shared" si="0"/>
        <v>9.6071261819166991E-4</v>
      </c>
    </row>
    <row r="11" spans="1:17" x14ac:dyDescent="0.25">
      <c r="A11" s="38">
        <v>1996</v>
      </c>
      <c r="B11" s="87">
        <f>'Export 01'!B7</f>
        <v>47600</v>
      </c>
      <c r="C11" s="40">
        <v>38068050</v>
      </c>
      <c r="D11" s="82">
        <f t="shared" si="0"/>
        <v>1.250392389418423E-3</v>
      </c>
    </row>
    <row r="12" spans="1:17" x14ac:dyDescent="0.25">
      <c r="A12" s="37">
        <v>1997</v>
      </c>
      <c r="B12" s="87" t="str">
        <f>'Export 01'!B8</f>
        <v>nd</v>
      </c>
      <c r="C12" s="39">
        <v>38635691</v>
      </c>
      <c r="D12" s="82" t="e">
        <f t="shared" si="0"/>
        <v>#VALUE!</v>
      </c>
    </row>
    <row r="13" spans="1:17" x14ac:dyDescent="0.25">
      <c r="A13" s="38">
        <v>1998</v>
      </c>
      <c r="B13" s="87" t="str">
        <f>'Export 01'!B9</f>
        <v>nd</v>
      </c>
      <c r="C13" s="40">
        <v>39184456</v>
      </c>
      <c r="D13" s="82" t="e">
        <f t="shared" si="0"/>
        <v>#VALUE!</v>
      </c>
    </row>
    <row r="14" spans="1:17" x14ac:dyDescent="0.25">
      <c r="A14" s="37">
        <v>1999</v>
      </c>
      <c r="B14" s="87" t="str">
        <f>'Export 01'!B10</f>
        <v>nd</v>
      </c>
      <c r="C14" s="39">
        <v>39730798</v>
      </c>
      <c r="D14" s="82" t="e">
        <f t="shared" si="0"/>
        <v>#VALUE!</v>
      </c>
    </row>
    <row r="15" spans="1:17" x14ac:dyDescent="0.25">
      <c r="A15" s="38">
        <v>2000</v>
      </c>
      <c r="B15" s="87">
        <f>'Export 01'!B11</f>
        <v>4572</v>
      </c>
      <c r="C15" s="40">
        <v>40295563</v>
      </c>
      <c r="D15" s="82">
        <f t="shared" si="0"/>
        <v>1.1346162355393818E-4</v>
      </c>
    </row>
    <row r="16" spans="1:17" x14ac:dyDescent="0.25">
      <c r="A16" s="37">
        <v>2001</v>
      </c>
      <c r="B16" s="87" t="str">
        <f>'Export 01'!B12</f>
        <v>nd</v>
      </c>
      <c r="C16" s="39">
        <v>40813541</v>
      </c>
      <c r="D16" s="82" t="e">
        <f t="shared" si="0"/>
        <v>#VALUE!</v>
      </c>
    </row>
    <row r="17" spans="1:4" x14ac:dyDescent="0.25">
      <c r="A17" s="38">
        <v>2002</v>
      </c>
      <c r="B17" s="87">
        <f>'Export 01'!B13</f>
        <v>97350</v>
      </c>
      <c r="C17" s="40">
        <v>41328824</v>
      </c>
      <c r="D17" s="82">
        <f t="shared" si="0"/>
        <v>2.3554989128168756E-3</v>
      </c>
    </row>
    <row r="18" spans="1:4" x14ac:dyDescent="0.25">
      <c r="A18" s="37">
        <v>2003</v>
      </c>
      <c r="B18" s="87">
        <f>'Export 01'!B14</f>
        <v>464569</v>
      </c>
      <c r="C18" s="39">
        <v>41848959</v>
      </c>
      <c r="D18" s="82">
        <f t="shared" si="0"/>
        <v>1.1101088559932876E-2</v>
      </c>
    </row>
    <row r="19" spans="1:4" x14ac:dyDescent="0.25">
      <c r="A19" s="38">
        <v>2004</v>
      </c>
      <c r="B19" s="87">
        <f>'Export 01'!B15</f>
        <v>431018</v>
      </c>
      <c r="C19" s="40">
        <v>42368489</v>
      </c>
      <c r="D19" s="82">
        <f t="shared" si="0"/>
        <v>1.0173079337334877E-2</v>
      </c>
    </row>
    <row r="20" spans="1:4" x14ac:dyDescent="0.25">
      <c r="A20" s="37">
        <v>2005</v>
      </c>
      <c r="B20" s="87">
        <f>'Export 01'!B16</f>
        <v>55511</v>
      </c>
      <c r="C20" s="39">
        <v>42888592</v>
      </c>
      <c r="D20" s="82">
        <f t="shared" si="0"/>
        <v>1.2943068870155494E-3</v>
      </c>
    </row>
    <row r="21" spans="1:4" x14ac:dyDescent="0.25">
      <c r="A21" s="38">
        <v>2006</v>
      </c>
      <c r="B21" s="87">
        <f>'Export 01'!B17</f>
        <v>134778</v>
      </c>
      <c r="C21" s="40">
        <v>43405956</v>
      </c>
      <c r="D21" s="82">
        <f t="shared" si="0"/>
        <v>3.1050577482961096E-3</v>
      </c>
    </row>
    <row r="22" spans="1:4" x14ac:dyDescent="0.25">
      <c r="A22" s="37">
        <v>2007</v>
      </c>
      <c r="B22" s="87">
        <f>'Export 01'!B18</f>
        <v>91560</v>
      </c>
      <c r="C22" s="39">
        <v>43926929</v>
      </c>
      <c r="D22" s="82">
        <f t="shared" si="0"/>
        <v>2.0843706146632742E-3</v>
      </c>
    </row>
    <row r="23" spans="1:4" x14ac:dyDescent="0.25">
      <c r="A23" s="38">
        <v>2008</v>
      </c>
      <c r="B23" s="87">
        <f>'Export 01'!B19</f>
        <v>285865</v>
      </c>
      <c r="C23" s="40">
        <v>44451147</v>
      </c>
      <c r="D23" s="82">
        <f t="shared" si="0"/>
        <v>6.4309926580747171E-3</v>
      </c>
    </row>
    <row r="24" spans="1:4" x14ac:dyDescent="0.25">
      <c r="A24" s="37">
        <v>2009</v>
      </c>
      <c r="B24" s="87">
        <f>'Export 01'!B20</f>
        <v>373110</v>
      </c>
      <c r="C24" s="39">
        <v>44978832</v>
      </c>
      <c r="D24" s="82">
        <f t="shared" si="0"/>
        <v>8.2952354120711721E-3</v>
      </c>
    </row>
    <row r="25" spans="1:4" x14ac:dyDescent="0.25">
      <c r="A25" s="38">
        <v>2010</v>
      </c>
      <c r="B25" s="87">
        <f>'Export 01'!B21</f>
        <v>828857</v>
      </c>
      <c r="C25" s="40">
        <v>45509584</v>
      </c>
      <c r="D25" s="82">
        <f t="shared" si="0"/>
        <v>1.8212801066254527E-2</v>
      </c>
    </row>
    <row r="26" spans="1:4" x14ac:dyDescent="0.25">
      <c r="A26" s="37">
        <v>2011</v>
      </c>
      <c r="B26" s="87">
        <f>'Export 01'!B22</f>
        <v>1947323</v>
      </c>
      <c r="C26" s="39">
        <v>46044601</v>
      </c>
      <c r="D26" s="82">
        <f t="shared" si="0"/>
        <v>4.229210282438977E-2</v>
      </c>
    </row>
    <row r="27" spans="1:4" x14ac:dyDescent="0.25">
      <c r="A27" s="38">
        <v>2012</v>
      </c>
      <c r="B27" s="87">
        <f>'Export 01'!B23</f>
        <v>2961183</v>
      </c>
      <c r="C27" s="40">
        <v>46581823</v>
      </c>
      <c r="D27" s="82">
        <f t="shared" si="0"/>
        <v>6.3569495766621242E-2</v>
      </c>
    </row>
    <row r="28" spans="1:4" x14ac:dyDescent="0.25">
      <c r="A28" s="37">
        <v>2013</v>
      </c>
      <c r="B28" s="87">
        <f>'Export 01'!B24</f>
        <v>2517989</v>
      </c>
      <c r="C28" s="39">
        <v>47121089</v>
      </c>
      <c r="D28" s="82">
        <f t="shared" si="0"/>
        <v>5.3436562130387097E-2</v>
      </c>
    </row>
    <row r="29" spans="1:4" x14ac:dyDescent="0.25">
      <c r="A29" s="38">
        <v>2014</v>
      </c>
      <c r="B29" s="87">
        <f>'Export 01'!B25</f>
        <v>3166151</v>
      </c>
      <c r="C29" s="40">
        <v>47661787</v>
      </c>
      <c r="D29" s="82">
        <f t="shared" si="0"/>
        <v>6.6429548686456091E-2</v>
      </c>
    </row>
    <row r="30" spans="1:4" x14ac:dyDescent="0.25">
      <c r="A30" s="37">
        <v>2015</v>
      </c>
      <c r="B30" s="87">
        <f>'Export 01'!B26</f>
        <v>1202045</v>
      </c>
      <c r="C30" s="39">
        <v>48203405</v>
      </c>
      <c r="D30" s="82">
        <f t="shared" si="0"/>
        <v>2.4936931322590179E-2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67" t="s">
        <v>3</v>
      </c>
      <c r="B35" s="34" t="s">
        <v>33</v>
      </c>
      <c r="C35" s="34" t="s">
        <v>68</v>
      </c>
      <c r="D35" s="34" t="s">
        <v>129</v>
      </c>
    </row>
    <row r="36" spans="1:10" x14ac:dyDescent="0.25">
      <c r="A36" s="37">
        <v>1991</v>
      </c>
      <c r="B36" s="88">
        <f>'Import 01'!B2</f>
        <v>2.257082</v>
      </c>
      <c r="C36" s="39">
        <v>34830570</v>
      </c>
      <c r="D36" s="81">
        <f>(B36/C36)*1000000</f>
        <v>6.4801753172572266E-2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88">
        <f>'Import 01'!B3</f>
        <v>4.602716</v>
      </c>
      <c r="C37" s="40">
        <v>35520940</v>
      </c>
      <c r="D37" s="81">
        <f t="shared" ref="D37:D60" si="1">(B37/C37)*1000000</f>
        <v>0.12957753933313701</v>
      </c>
    </row>
    <row r="38" spans="1:10" x14ac:dyDescent="0.25">
      <c r="A38" s="37">
        <v>1993</v>
      </c>
      <c r="B38" s="88">
        <f>'Import 01'!B4</f>
        <v>5.4465870000000001</v>
      </c>
      <c r="C38" s="39">
        <v>36207108</v>
      </c>
      <c r="D38" s="81">
        <f t="shared" si="1"/>
        <v>0.1504286672108692</v>
      </c>
    </row>
    <row r="39" spans="1:10" x14ac:dyDescent="0.25">
      <c r="A39" s="38">
        <v>1994</v>
      </c>
      <c r="B39" s="88">
        <f>'Import 01'!B5</f>
        <v>5.1758040000000003</v>
      </c>
      <c r="C39" s="40">
        <v>36853905</v>
      </c>
      <c r="D39" s="81">
        <f t="shared" si="1"/>
        <v>0.14044112828749084</v>
      </c>
    </row>
    <row r="40" spans="1:10" x14ac:dyDescent="0.25">
      <c r="A40" s="37">
        <v>1995</v>
      </c>
      <c r="B40" s="88">
        <f>'Import 01'!B6</f>
        <v>19.175875999999999</v>
      </c>
      <c r="C40" s="39">
        <v>37472184</v>
      </c>
      <c r="D40" s="81">
        <f t="shared" si="1"/>
        <v>0.51173627883552231</v>
      </c>
    </row>
    <row r="41" spans="1:10" x14ac:dyDescent="0.25">
      <c r="A41" s="38">
        <v>1996</v>
      </c>
      <c r="B41" s="88">
        <f>'Import 01'!B7</f>
        <v>18.612770000000001</v>
      </c>
      <c r="C41" s="40">
        <v>38068050</v>
      </c>
      <c r="D41" s="81">
        <f t="shared" si="1"/>
        <v>0.48893415869738532</v>
      </c>
    </row>
    <row r="42" spans="1:10" x14ac:dyDescent="0.25">
      <c r="A42" s="37">
        <v>1997</v>
      </c>
      <c r="B42" s="88">
        <f>'Import 01'!B8</f>
        <v>23.088234</v>
      </c>
      <c r="C42" s="39">
        <v>38635691</v>
      </c>
      <c r="D42" s="81">
        <f t="shared" si="1"/>
        <v>0.59758822483594254</v>
      </c>
    </row>
    <row r="43" spans="1:10" x14ac:dyDescent="0.25">
      <c r="A43" s="38">
        <v>1998</v>
      </c>
      <c r="B43" s="88">
        <f>'Import 01'!B9</f>
        <v>28.916785999999998</v>
      </c>
      <c r="C43" s="40">
        <v>39184456</v>
      </c>
      <c r="D43" s="81">
        <f t="shared" si="1"/>
        <v>0.73796573825090228</v>
      </c>
    </row>
    <row r="44" spans="1:10" x14ac:dyDescent="0.25">
      <c r="A44" s="37">
        <v>1999</v>
      </c>
      <c r="B44" s="88">
        <f>'Import 01'!B10</f>
        <v>22.478852</v>
      </c>
      <c r="C44" s="39">
        <v>39730798</v>
      </c>
      <c r="D44" s="81">
        <f t="shared" si="1"/>
        <v>0.56577902110096046</v>
      </c>
    </row>
    <row r="45" spans="1:10" x14ac:dyDescent="0.25">
      <c r="A45" s="38">
        <v>2000</v>
      </c>
      <c r="B45" s="88">
        <f>'Import 01'!B11</f>
        <v>22.640004999999999</v>
      </c>
      <c r="C45" s="40">
        <v>40295563</v>
      </c>
      <c r="D45" s="81">
        <f t="shared" si="1"/>
        <v>0.56184858367656998</v>
      </c>
    </row>
    <row r="46" spans="1:10" x14ac:dyDescent="0.25">
      <c r="A46" s="37">
        <v>2001</v>
      </c>
      <c r="B46" s="88">
        <f>'Import 01'!B12</f>
        <v>23.962071000000002</v>
      </c>
      <c r="C46" s="39">
        <v>40813541</v>
      </c>
      <c r="D46" s="81">
        <f t="shared" si="1"/>
        <v>0.58711080717059083</v>
      </c>
    </row>
    <row r="47" spans="1:10" x14ac:dyDescent="0.25">
      <c r="A47" s="38">
        <v>2002</v>
      </c>
      <c r="B47" s="88">
        <f>'Import 01'!B13</f>
        <v>19.855342</v>
      </c>
      <c r="C47" s="40">
        <v>41328824</v>
      </c>
      <c r="D47" s="81">
        <f t="shared" si="1"/>
        <v>0.48042359008327945</v>
      </c>
    </row>
    <row r="48" spans="1:10" x14ac:dyDescent="0.25">
      <c r="A48" s="37">
        <v>2003</v>
      </c>
      <c r="B48" s="88">
        <f>'Import 01'!B14</f>
        <v>16.819969</v>
      </c>
      <c r="C48" s="39">
        <v>41848959</v>
      </c>
      <c r="D48" s="81">
        <f t="shared" si="1"/>
        <v>0.40192084586859139</v>
      </c>
    </row>
    <row r="49" spans="1:4" x14ac:dyDescent="0.25">
      <c r="A49" s="38">
        <v>2004</v>
      </c>
      <c r="B49" s="88">
        <f>'Import 01'!B15</f>
        <v>9.0787460000000006</v>
      </c>
      <c r="C49" s="40">
        <v>42368489</v>
      </c>
      <c r="D49" s="81">
        <f t="shared" si="1"/>
        <v>0.2142806178431334</v>
      </c>
    </row>
    <row r="50" spans="1:4" x14ac:dyDescent="0.25">
      <c r="A50" s="37">
        <v>2005</v>
      </c>
      <c r="B50" s="88">
        <f>'Import 01'!B16</f>
        <v>17.797436000000001</v>
      </c>
      <c r="C50" s="39">
        <v>42888592</v>
      </c>
      <c r="D50" s="81">
        <f t="shared" si="1"/>
        <v>0.41496899688383337</v>
      </c>
    </row>
    <row r="51" spans="1:4" x14ac:dyDescent="0.25">
      <c r="A51" s="38">
        <v>2006</v>
      </c>
      <c r="B51" s="88">
        <f>'Import 01'!B17</f>
        <v>17.431228000000001</v>
      </c>
      <c r="C51" s="40">
        <v>43405956</v>
      </c>
      <c r="D51" s="81">
        <f t="shared" si="1"/>
        <v>0.40158608648085076</v>
      </c>
    </row>
    <row r="52" spans="1:4" x14ac:dyDescent="0.25">
      <c r="A52" s="37">
        <v>2007</v>
      </c>
      <c r="B52" s="88">
        <f>'Import 01'!B18</f>
        <v>22.134972000000001</v>
      </c>
      <c r="C52" s="39">
        <v>43926929</v>
      </c>
      <c r="D52" s="81">
        <f t="shared" si="1"/>
        <v>0.50390438175179519</v>
      </c>
    </row>
    <row r="53" spans="1:4" x14ac:dyDescent="0.25">
      <c r="A53" s="38">
        <v>2008</v>
      </c>
      <c r="B53" s="88">
        <f>'Import 01'!B19</f>
        <v>33.683701999999997</v>
      </c>
      <c r="C53" s="40">
        <v>44451147</v>
      </c>
      <c r="D53" s="81">
        <f t="shared" si="1"/>
        <v>0.75776901774885586</v>
      </c>
    </row>
    <row r="54" spans="1:4" x14ac:dyDescent="0.25">
      <c r="A54" s="37">
        <v>2009</v>
      </c>
      <c r="B54" s="88">
        <f>'Import 01'!B20</f>
        <v>29.724412000000001</v>
      </c>
      <c r="C54" s="39">
        <v>44978832</v>
      </c>
      <c r="D54" s="81">
        <f t="shared" si="1"/>
        <v>0.66085335430675474</v>
      </c>
    </row>
    <row r="55" spans="1:4" x14ac:dyDescent="0.25">
      <c r="A55" s="38">
        <v>2010</v>
      </c>
      <c r="B55" s="88">
        <f>'Import 01'!B21</f>
        <v>40.214798999999999</v>
      </c>
      <c r="C55" s="40">
        <v>45509584</v>
      </c>
      <c r="D55" s="81">
        <f t="shared" si="1"/>
        <v>0.88365560537753984</v>
      </c>
    </row>
    <row r="56" spans="1:4" x14ac:dyDescent="0.25">
      <c r="A56" s="37">
        <v>2011</v>
      </c>
      <c r="B56" s="88">
        <f>'Import 01'!B22</f>
        <v>57.535119999999999</v>
      </c>
      <c r="C56" s="39">
        <v>46044601</v>
      </c>
      <c r="D56" s="81">
        <f t="shared" si="1"/>
        <v>1.2495519290090058</v>
      </c>
    </row>
    <row r="57" spans="1:4" x14ac:dyDescent="0.25">
      <c r="A57" s="38">
        <v>2012</v>
      </c>
      <c r="B57" s="88">
        <f>'Import 01'!B23</f>
        <v>81.675417999999993</v>
      </c>
      <c r="C57" s="40">
        <v>46581823</v>
      </c>
      <c r="D57" s="81">
        <f t="shared" si="1"/>
        <v>1.7533753026368246</v>
      </c>
    </row>
    <row r="58" spans="1:4" x14ac:dyDescent="0.25">
      <c r="A58" s="37">
        <v>2013</v>
      </c>
      <c r="B58" s="88">
        <f>'Import 01'!B24</f>
        <v>143.85558499999999</v>
      </c>
      <c r="C58" s="39">
        <v>47121089</v>
      </c>
      <c r="D58" s="81">
        <f t="shared" si="1"/>
        <v>3.0528917742117545</v>
      </c>
    </row>
    <row r="59" spans="1:4" x14ac:dyDescent="0.25">
      <c r="A59" s="38">
        <v>2014</v>
      </c>
      <c r="B59" s="88">
        <f>'Import 01'!B25</f>
        <v>217.696721</v>
      </c>
      <c r="C59" s="40">
        <v>47661787</v>
      </c>
      <c r="D59" s="81">
        <f t="shared" si="1"/>
        <v>4.5675316580135785</v>
      </c>
    </row>
    <row r="60" spans="1:4" x14ac:dyDescent="0.25">
      <c r="A60" s="37">
        <v>2015</v>
      </c>
      <c r="B60" s="88">
        <f>'Import 01'!B26</f>
        <v>167.27712399999999</v>
      </c>
      <c r="C60" s="39">
        <v>48203405</v>
      </c>
      <c r="D60" s="81">
        <f t="shared" si="1"/>
        <v>3.4702346027215296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67" t="s">
        <v>3</v>
      </c>
      <c r="B64" s="34" t="s">
        <v>65</v>
      </c>
      <c r="C64" s="34" t="s">
        <v>68</v>
      </c>
      <c r="D64" s="34" t="s">
        <v>132</v>
      </c>
    </row>
    <row r="65" spans="1:10" x14ac:dyDescent="0.25">
      <c r="A65" s="37">
        <v>1991</v>
      </c>
      <c r="B65" s="88">
        <f>'Apertura 01'!B213</f>
        <v>2.257086819</v>
      </c>
      <c r="C65" s="39">
        <v>34830570</v>
      </c>
      <c r="D65" s="35">
        <f>(B65/C65)*1000000</f>
        <v>6.4801891528045621E-2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88">
        <f>'Apertura 01'!B214</f>
        <v>4.6028069089999999</v>
      </c>
      <c r="C66" s="40">
        <v>35520940</v>
      </c>
      <c r="D66" s="35">
        <f t="shared" ref="D66:D89" si="2">(B66/C66)*1000000</f>
        <v>0.12958009864040762</v>
      </c>
    </row>
    <row r="67" spans="1:10" x14ac:dyDescent="0.25">
      <c r="A67" s="37">
        <v>1993</v>
      </c>
      <c r="B67" s="88" t="e">
        <f>'Apertura 01'!B215</f>
        <v>#VALUE!</v>
      </c>
      <c r="C67" s="39">
        <v>36207108</v>
      </c>
      <c r="D67" s="35" t="e">
        <f t="shared" si="2"/>
        <v>#VALUE!</v>
      </c>
    </row>
    <row r="68" spans="1:10" x14ac:dyDescent="0.25">
      <c r="A68" s="38">
        <v>1994</v>
      </c>
      <c r="B68" s="88">
        <f>'Apertura 01'!B216</f>
        <v>5.1758210900000003</v>
      </c>
      <c r="C68" s="40">
        <v>36853905</v>
      </c>
      <c r="D68" s="35">
        <f t="shared" si="2"/>
        <v>0.14044159201039891</v>
      </c>
    </row>
    <row r="69" spans="1:10" x14ac:dyDescent="0.25">
      <c r="A69" s="37">
        <v>1995</v>
      </c>
      <c r="B69" s="88">
        <f>'Apertura 01'!B217</f>
        <v>19.175912</v>
      </c>
      <c r="C69" s="39">
        <v>37472184</v>
      </c>
      <c r="D69" s="35">
        <f t="shared" si="2"/>
        <v>0.51173723954814054</v>
      </c>
    </row>
    <row r="70" spans="1:10" x14ac:dyDescent="0.25">
      <c r="A70" s="38">
        <v>1996</v>
      </c>
      <c r="B70" s="88">
        <f>'Apertura 01'!B218</f>
        <v>18.6128176</v>
      </c>
      <c r="C70" s="40">
        <v>38068050</v>
      </c>
      <c r="D70" s="35">
        <f t="shared" si="2"/>
        <v>0.48893540908977468</v>
      </c>
    </row>
    <row r="71" spans="1:10" x14ac:dyDescent="0.25">
      <c r="A71" s="37">
        <v>1997</v>
      </c>
      <c r="B71" s="88" t="e">
        <f>'Apertura 01'!B219</f>
        <v>#VALUE!</v>
      </c>
      <c r="C71" s="39">
        <v>38635691</v>
      </c>
      <c r="D71" s="35" t="e">
        <f t="shared" si="2"/>
        <v>#VALUE!</v>
      </c>
    </row>
    <row r="72" spans="1:10" x14ac:dyDescent="0.25">
      <c r="A72" s="38">
        <v>1998</v>
      </c>
      <c r="B72" s="88" t="e">
        <f>'Apertura 01'!B220</f>
        <v>#VALUE!</v>
      </c>
      <c r="C72" s="40">
        <v>39184456</v>
      </c>
      <c r="D72" s="35" t="e">
        <f t="shared" si="2"/>
        <v>#VALUE!</v>
      </c>
    </row>
    <row r="73" spans="1:10" x14ac:dyDescent="0.25">
      <c r="A73" s="37">
        <v>1999</v>
      </c>
      <c r="B73" s="88" t="e">
        <f>'Apertura 01'!B221</f>
        <v>#VALUE!</v>
      </c>
      <c r="C73" s="39">
        <v>39730798</v>
      </c>
      <c r="D73" s="35" t="e">
        <f t="shared" si="2"/>
        <v>#VALUE!</v>
      </c>
    </row>
    <row r="74" spans="1:10" x14ac:dyDescent="0.25">
      <c r="A74" s="38">
        <v>2000</v>
      </c>
      <c r="B74" s="88">
        <f>'Apertura 01'!B222</f>
        <v>22.640009572</v>
      </c>
      <c r="C74" s="40">
        <v>40295563</v>
      </c>
      <c r="D74" s="35">
        <f t="shared" si="2"/>
        <v>0.56184869713819363</v>
      </c>
    </row>
    <row r="75" spans="1:10" x14ac:dyDescent="0.25">
      <c r="A75" s="37">
        <v>2001</v>
      </c>
      <c r="B75" s="88" t="e">
        <f>'Apertura 01'!B223</f>
        <v>#VALUE!</v>
      </c>
      <c r="C75" s="39">
        <v>40813541</v>
      </c>
      <c r="D75" s="35" t="e">
        <f t="shared" si="2"/>
        <v>#VALUE!</v>
      </c>
    </row>
    <row r="76" spans="1:10" x14ac:dyDescent="0.25">
      <c r="A76" s="38">
        <v>2002</v>
      </c>
      <c r="B76" s="88">
        <f>'Apertura 01'!B224</f>
        <v>19.855439350000001</v>
      </c>
      <c r="C76" s="40">
        <v>41328824</v>
      </c>
      <c r="D76" s="35">
        <f t="shared" si="2"/>
        <v>0.48042594558219232</v>
      </c>
    </row>
    <row r="77" spans="1:10" x14ac:dyDescent="0.25">
      <c r="A77" s="37">
        <v>2003</v>
      </c>
      <c r="B77" s="88">
        <f>'Apertura 01'!B225</f>
        <v>16.820433568999999</v>
      </c>
      <c r="C77" s="39">
        <v>41848959</v>
      </c>
      <c r="D77" s="35">
        <f t="shared" si="2"/>
        <v>0.40193194695715129</v>
      </c>
    </row>
    <row r="78" spans="1:10" x14ac:dyDescent="0.25">
      <c r="A78" s="38">
        <v>2004</v>
      </c>
      <c r="B78" s="88">
        <f>'Apertura 01'!B226</f>
        <v>9.0791770180000011</v>
      </c>
      <c r="C78" s="40">
        <v>42368489</v>
      </c>
      <c r="D78" s="35">
        <f t="shared" si="2"/>
        <v>0.21429079092247075</v>
      </c>
    </row>
    <row r="79" spans="1:10" x14ac:dyDescent="0.25">
      <c r="A79" s="37">
        <v>2005</v>
      </c>
      <c r="B79" s="88">
        <f>'Apertura 01'!B227</f>
        <v>17.797491511</v>
      </c>
      <c r="C79" s="39">
        <v>42888592</v>
      </c>
      <c r="D79" s="35">
        <f t="shared" si="2"/>
        <v>0.41497029119072038</v>
      </c>
    </row>
    <row r="80" spans="1:10" x14ac:dyDescent="0.25">
      <c r="A80" s="38">
        <v>2006</v>
      </c>
      <c r="B80" s="88">
        <f>'Apertura 01'!B228</f>
        <v>17.431362778</v>
      </c>
      <c r="C80" s="40">
        <v>43405956</v>
      </c>
      <c r="D80" s="35">
        <f t="shared" si="2"/>
        <v>0.40158919153859901</v>
      </c>
    </row>
    <row r="81" spans="1:4" x14ac:dyDescent="0.25">
      <c r="A81" s="37">
        <v>2007</v>
      </c>
      <c r="B81" s="88">
        <f>'Apertura 01'!B229</f>
        <v>22.135063560000003</v>
      </c>
      <c r="C81" s="39">
        <v>43926929</v>
      </c>
      <c r="D81" s="35">
        <f t="shared" si="2"/>
        <v>0.50390646612240986</v>
      </c>
    </row>
    <row r="82" spans="1:4" x14ac:dyDescent="0.25">
      <c r="A82" s="38">
        <v>2008</v>
      </c>
      <c r="B82" s="88">
        <f>'Apertura 01'!B230</f>
        <v>33.683987864999999</v>
      </c>
      <c r="C82" s="40">
        <v>44451147</v>
      </c>
      <c r="D82" s="35">
        <f t="shared" si="2"/>
        <v>0.75777544874151392</v>
      </c>
    </row>
    <row r="83" spans="1:4" x14ac:dyDescent="0.25">
      <c r="A83" s="37">
        <v>2009</v>
      </c>
      <c r="B83" s="88">
        <f>'Apertura 01'!B231</f>
        <v>29.724785110000003</v>
      </c>
      <c r="C83" s="39">
        <v>44978832</v>
      </c>
      <c r="D83" s="35">
        <f t="shared" si="2"/>
        <v>0.66086164954216697</v>
      </c>
    </row>
    <row r="84" spans="1:4" x14ac:dyDescent="0.25">
      <c r="A84" s="38">
        <v>2010</v>
      </c>
      <c r="B84" s="88">
        <f>'Apertura 01'!B232</f>
        <v>40.215627857000001</v>
      </c>
      <c r="C84" s="40">
        <v>45509584</v>
      </c>
      <c r="D84" s="35">
        <f t="shared" si="2"/>
        <v>0.88367381817860613</v>
      </c>
    </row>
    <row r="85" spans="1:4" x14ac:dyDescent="0.25">
      <c r="A85" s="37">
        <v>2011</v>
      </c>
      <c r="B85" s="88">
        <f>'Apertura 01'!B233</f>
        <v>57.537067323000002</v>
      </c>
      <c r="C85" s="39">
        <v>46044601</v>
      </c>
      <c r="D85" s="35">
        <f t="shared" si="2"/>
        <v>1.2495942211118303</v>
      </c>
    </row>
    <row r="86" spans="1:4" x14ac:dyDescent="0.25">
      <c r="A86" s="38">
        <v>2012</v>
      </c>
      <c r="B86" s="88">
        <f>'Apertura 01'!B234</f>
        <v>81.67837918299999</v>
      </c>
      <c r="C86" s="40">
        <v>46581823</v>
      </c>
      <c r="D86" s="35">
        <f t="shared" si="2"/>
        <v>1.7534388721325911</v>
      </c>
    </row>
    <row r="87" spans="1:4" x14ac:dyDescent="0.25">
      <c r="A87" s="37">
        <v>2013</v>
      </c>
      <c r="B87" s="88">
        <f>'Apertura 01'!B235</f>
        <v>143.858102989</v>
      </c>
      <c r="C87" s="39">
        <v>47121089</v>
      </c>
      <c r="D87" s="35">
        <f t="shared" si="2"/>
        <v>3.0529452107738853</v>
      </c>
    </row>
    <row r="88" spans="1:4" x14ac:dyDescent="0.25">
      <c r="A88" s="38">
        <v>2014</v>
      </c>
      <c r="B88" s="88">
        <f>'Apertura 01'!B236</f>
        <v>217.69988715099998</v>
      </c>
      <c r="C88" s="40">
        <v>47661787</v>
      </c>
      <c r="D88" s="35">
        <f t="shared" si="2"/>
        <v>4.5675980875622644</v>
      </c>
    </row>
    <row r="89" spans="1:4" x14ac:dyDescent="0.25">
      <c r="A89" s="37">
        <v>2015</v>
      </c>
      <c r="B89" s="88">
        <f>'Apertura 01'!B237</f>
        <v>167.278326045</v>
      </c>
      <c r="C89" s="39">
        <v>48203405</v>
      </c>
      <c r="D89" s="35">
        <f t="shared" si="2"/>
        <v>3.4702595396528522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67" t="s">
        <v>3</v>
      </c>
      <c r="B96" s="34" t="s">
        <v>8</v>
      </c>
      <c r="C96" s="34" t="s">
        <v>35</v>
      </c>
      <c r="D96" s="34" t="s">
        <v>38</v>
      </c>
    </row>
    <row r="97" spans="1:11" x14ac:dyDescent="0.25">
      <c r="A97" s="37">
        <v>1991</v>
      </c>
      <c r="B97" s="88">
        <f>B36</f>
        <v>2.257082</v>
      </c>
      <c r="C97" s="39">
        <v>253620000</v>
      </c>
      <c r="D97" s="68">
        <f>(B97/C97)*1000000</f>
        <v>8.8994637646873272E-3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88">
        <f t="shared" ref="B98:B121" si="3">B37</f>
        <v>4.602716</v>
      </c>
      <c r="C98" s="40">
        <v>256516000</v>
      </c>
      <c r="D98" s="68">
        <f t="shared" ref="D98:D121" si="4">(B98/C98)*1000000</f>
        <v>1.7943192627360476E-2</v>
      </c>
    </row>
    <row r="99" spans="1:11" x14ac:dyDescent="0.25">
      <c r="A99" s="37">
        <v>1993</v>
      </c>
      <c r="B99" s="88">
        <f t="shared" si="3"/>
        <v>5.4465870000000001</v>
      </c>
      <c r="C99" s="39">
        <v>259131000</v>
      </c>
      <c r="D99" s="68">
        <f t="shared" si="4"/>
        <v>2.101866237540086E-2</v>
      </c>
    </row>
    <row r="100" spans="1:11" x14ac:dyDescent="0.25">
      <c r="A100" s="38">
        <v>1994</v>
      </c>
      <c r="B100" s="88">
        <f t="shared" si="3"/>
        <v>5.1758040000000003</v>
      </c>
      <c r="C100" s="40">
        <v>264061000</v>
      </c>
      <c r="D100" s="68">
        <f t="shared" si="4"/>
        <v>1.9600789211583688E-2</v>
      </c>
    </row>
    <row r="101" spans="1:11" x14ac:dyDescent="0.25">
      <c r="A101" s="37">
        <v>1995</v>
      </c>
      <c r="B101" s="88">
        <f t="shared" si="3"/>
        <v>19.175875999999999</v>
      </c>
      <c r="C101" s="39">
        <v>266398000</v>
      </c>
      <c r="D101" s="68">
        <f t="shared" si="4"/>
        <v>7.1982056922349255E-2</v>
      </c>
    </row>
    <row r="102" spans="1:11" x14ac:dyDescent="0.25">
      <c r="A102" s="38">
        <v>1996</v>
      </c>
      <c r="B102" s="88">
        <f t="shared" si="3"/>
        <v>18.612770000000001</v>
      </c>
      <c r="C102" s="40">
        <v>268930000</v>
      </c>
      <c r="D102" s="68">
        <f t="shared" si="4"/>
        <v>6.9210463689435911E-2</v>
      </c>
    </row>
    <row r="103" spans="1:11" x14ac:dyDescent="0.25">
      <c r="A103" s="37">
        <v>1997</v>
      </c>
      <c r="B103" s="88">
        <f t="shared" si="3"/>
        <v>23.088234</v>
      </c>
      <c r="C103" s="39">
        <v>271387000</v>
      </c>
      <c r="D103" s="68">
        <f t="shared" si="4"/>
        <v>8.5074944636257449E-2</v>
      </c>
    </row>
    <row r="104" spans="1:11" x14ac:dyDescent="0.25">
      <c r="A104" s="38">
        <v>1998</v>
      </c>
      <c r="B104" s="88">
        <f t="shared" si="3"/>
        <v>28.916785999999998</v>
      </c>
      <c r="C104" s="40">
        <v>271584000</v>
      </c>
      <c r="D104" s="68">
        <f t="shared" si="4"/>
        <v>0.10647455667491457</v>
      </c>
    </row>
    <row r="105" spans="1:11" x14ac:dyDescent="0.25">
      <c r="A105" s="37">
        <v>1999</v>
      </c>
      <c r="B105" s="88">
        <f t="shared" si="3"/>
        <v>22.478852</v>
      </c>
      <c r="C105" s="39">
        <v>274024000</v>
      </c>
      <c r="D105" s="68">
        <f t="shared" si="4"/>
        <v>8.2032420517910834E-2</v>
      </c>
    </row>
    <row r="106" spans="1:11" x14ac:dyDescent="0.25">
      <c r="A106" s="38">
        <v>2000</v>
      </c>
      <c r="B106" s="88">
        <f t="shared" si="3"/>
        <v>22.640004999999999</v>
      </c>
      <c r="C106" s="40">
        <v>284968955</v>
      </c>
      <c r="D106" s="68">
        <f t="shared" si="4"/>
        <v>7.9447268212075942E-2</v>
      </c>
    </row>
    <row r="107" spans="1:11" x14ac:dyDescent="0.25">
      <c r="A107" s="37">
        <v>2001</v>
      </c>
      <c r="B107" s="88">
        <f t="shared" si="3"/>
        <v>23.962071000000002</v>
      </c>
      <c r="C107" s="39">
        <v>287625193</v>
      </c>
      <c r="D107" s="68">
        <f t="shared" si="4"/>
        <v>8.3310056223065282E-2</v>
      </c>
    </row>
    <row r="108" spans="1:11" x14ac:dyDescent="0.25">
      <c r="A108" s="38">
        <v>2002</v>
      </c>
      <c r="B108" s="88">
        <f t="shared" si="3"/>
        <v>19.855342</v>
      </c>
      <c r="C108" s="40">
        <v>290107933</v>
      </c>
      <c r="D108" s="68">
        <f t="shared" si="4"/>
        <v>6.8441223908206603E-2</v>
      </c>
    </row>
    <row r="109" spans="1:11" x14ac:dyDescent="0.25">
      <c r="A109" s="37">
        <v>2003</v>
      </c>
      <c r="B109" s="88">
        <f t="shared" si="3"/>
        <v>16.819969</v>
      </c>
      <c r="C109" s="39">
        <v>292805298</v>
      </c>
      <c r="D109" s="68">
        <f t="shared" si="4"/>
        <v>5.7444209906338514E-2</v>
      </c>
    </row>
    <row r="110" spans="1:11" x14ac:dyDescent="0.25">
      <c r="A110" s="38">
        <v>2004</v>
      </c>
      <c r="B110" s="88">
        <f t="shared" si="3"/>
        <v>9.0787460000000006</v>
      </c>
      <c r="C110" s="40">
        <v>295516599</v>
      </c>
      <c r="D110" s="68">
        <f t="shared" si="4"/>
        <v>3.0721611005004833E-2</v>
      </c>
    </row>
    <row r="111" spans="1:11" x14ac:dyDescent="0.25">
      <c r="A111" s="37">
        <v>2005</v>
      </c>
      <c r="B111" s="88">
        <f t="shared" si="3"/>
        <v>17.797436000000001</v>
      </c>
      <c r="C111" s="39">
        <v>298379912</v>
      </c>
      <c r="D111" s="68">
        <f t="shared" si="4"/>
        <v>5.9646897409099051E-2</v>
      </c>
    </row>
    <row r="112" spans="1:11" x14ac:dyDescent="0.25">
      <c r="A112" s="38">
        <v>2006</v>
      </c>
      <c r="B112" s="88">
        <f t="shared" si="3"/>
        <v>17.431228000000001</v>
      </c>
      <c r="C112" s="40">
        <v>301231207</v>
      </c>
      <c r="D112" s="68">
        <f t="shared" si="4"/>
        <v>5.7866607426235228E-2</v>
      </c>
    </row>
    <row r="113" spans="1:11" x14ac:dyDescent="0.25">
      <c r="A113" s="37">
        <v>2007</v>
      </c>
      <c r="B113" s="88">
        <f t="shared" si="3"/>
        <v>22.134972000000001</v>
      </c>
      <c r="C113" s="39">
        <v>304093966</v>
      </c>
      <c r="D113" s="68">
        <f t="shared" si="4"/>
        <v>7.2789908629755581E-2</v>
      </c>
    </row>
    <row r="114" spans="1:11" x14ac:dyDescent="0.25">
      <c r="A114" s="38">
        <v>2008</v>
      </c>
      <c r="B114" s="88">
        <f t="shared" si="3"/>
        <v>33.683701999999997</v>
      </c>
      <c r="C114" s="40">
        <v>306771529</v>
      </c>
      <c r="D114" s="68">
        <f t="shared" si="4"/>
        <v>0.10980061321140397</v>
      </c>
    </row>
    <row r="115" spans="1:11" x14ac:dyDescent="0.25">
      <c r="A115" s="37">
        <v>2009</v>
      </c>
      <c r="B115" s="88">
        <f t="shared" si="3"/>
        <v>29.724412000000001</v>
      </c>
      <c r="C115" s="39">
        <v>308745538</v>
      </c>
      <c r="D115" s="68">
        <f t="shared" si="4"/>
        <v>9.6274790536406071E-2</v>
      </c>
    </row>
    <row r="116" spans="1:11" x14ac:dyDescent="0.25">
      <c r="A116" s="38">
        <v>2010</v>
      </c>
      <c r="B116" s="88">
        <f t="shared" si="3"/>
        <v>40.214798999999999</v>
      </c>
      <c r="C116" s="40">
        <v>309347057</v>
      </c>
      <c r="D116" s="68">
        <f t="shared" si="4"/>
        <v>0.12999897070299266</v>
      </c>
    </row>
    <row r="117" spans="1:11" x14ac:dyDescent="0.25">
      <c r="A117" s="37">
        <v>2011</v>
      </c>
      <c r="B117" s="88">
        <f t="shared" si="3"/>
        <v>57.535119999999999</v>
      </c>
      <c r="C117" s="39">
        <v>311721632</v>
      </c>
      <c r="D117" s="68">
        <f t="shared" si="4"/>
        <v>0.18457211208235944</v>
      </c>
    </row>
    <row r="118" spans="1:11" x14ac:dyDescent="0.25">
      <c r="A118" s="38">
        <v>2012</v>
      </c>
      <c r="B118" s="88">
        <f t="shared" si="3"/>
        <v>81.675417999999993</v>
      </c>
      <c r="C118" s="40">
        <v>314112078</v>
      </c>
      <c r="D118" s="68">
        <f t="shared" si="4"/>
        <v>0.26001998560526535</v>
      </c>
    </row>
    <row r="119" spans="1:11" x14ac:dyDescent="0.25">
      <c r="A119" s="37">
        <v>2013</v>
      </c>
      <c r="B119" s="88">
        <f t="shared" si="3"/>
        <v>143.85558499999999</v>
      </c>
      <c r="C119" s="39">
        <v>316497531</v>
      </c>
      <c r="D119" s="68">
        <f t="shared" si="4"/>
        <v>0.45452356151239609</v>
      </c>
    </row>
    <row r="120" spans="1:11" x14ac:dyDescent="0.25">
      <c r="A120" s="38">
        <v>2014</v>
      </c>
      <c r="B120" s="88">
        <f t="shared" si="3"/>
        <v>217.696721</v>
      </c>
      <c r="C120" s="40">
        <v>318857056</v>
      </c>
      <c r="D120" s="68">
        <f t="shared" si="4"/>
        <v>0.68274079843476942</v>
      </c>
    </row>
    <row r="121" spans="1:11" x14ac:dyDescent="0.25">
      <c r="A121" s="37">
        <v>2015</v>
      </c>
      <c r="B121" s="88">
        <f t="shared" si="3"/>
        <v>167.27712399999999</v>
      </c>
      <c r="C121" s="39">
        <v>321418820</v>
      </c>
      <c r="D121" s="68">
        <f t="shared" si="4"/>
        <v>0.52043350790722209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  <c r="H125">
        <v>4819</v>
      </c>
      <c r="I125">
        <v>2536200000</v>
      </c>
      <c r="K125">
        <f>H125/I125</f>
        <v>1.9000867439476381E-6</v>
      </c>
    </row>
    <row r="126" spans="1:11" ht="45" x14ac:dyDescent="0.25">
      <c r="A126" s="67" t="s">
        <v>3</v>
      </c>
      <c r="B126" s="34" t="s">
        <v>152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>
        <f>B6</f>
        <v>4819</v>
      </c>
      <c r="C127" s="39">
        <v>253620000</v>
      </c>
      <c r="D127" s="82">
        <f>(B127/C127)</f>
        <v>1.9000867439476383E-5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69">
        <f t="shared" ref="B128:B151" si="5">B7</f>
        <v>90909</v>
      </c>
      <c r="C128" s="40">
        <v>256516000</v>
      </c>
      <c r="D128" s="82">
        <f t="shared" ref="D128:D151" si="6">(B128/C128)</f>
        <v>3.5439894587472128E-4</v>
      </c>
    </row>
    <row r="129" spans="1:4" x14ac:dyDescent="0.25">
      <c r="A129" s="37">
        <v>1993</v>
      </c>
      <c r="B129" s="69" t="str">
        <f t="shared" si="5"/>
        <v>nd</v>
      </c>
      <c r="C129" s="39">
        <v>259131000</v>
      </c>
      <c r="D129" s="82" t="e">
        <f t="shared" si="6"/>
        <v>#VALUE!</v>
      </c>
    </row>
    <row r="130" spans="1:4" x14ac:dyDescent="0.25">
      <c r="A130" s="38">
        <v>1994</v>
      </c>
      <c r="B130" s="69">
        <f t="shared" si="5"/>
        <v>17090</v>
      </c>
      <c r="C130" s="40">
        <v>264061000</v>
      </c>
      <c r="D130" s="82">
        <f t="shared" si="6"/>
        <v>6.4719894266855013E-5</v>
      </c>
    </row>
    <row r="131" spans="1:4" x14ac:dyDescent="0.25">
      <c r="A131" s="37">
        <v>1995</v>
      </c>
      <c r="B131" s="69">
        <f t="shared" si="5"/>
        <v>36000</v>
      </c>
      <c r="C131" s="39">
        <v>266398000</v>
      </c>
      <c r="D131" s="82">
        <f t="shared" si="6"/>
        <v>1.3513614967079331E-4</v>
      </c>
    </row>
    <row r="132" spans="1:4" x14ac:dyDescent="0.25">
      <c r="A132" s="38">
        <v>1996</v>
      </c>
      <c r="B132" s="69">
        <f t="shared" si="5"/>
        <v>47600</v>
      </c>
      <c r="C132" s="40">
        <v>268930000</v>
      </c>
      <c r="D132" s="82">
        <f t="shared" si="6"/>
        <v>1.7699773175175695E-4</v>
      </c>
    </row>
    <row r="133" spans="1:4" x14ac:dyDescent="0.25">
      <c r="A133" s="37">
        <v>1997</v>
      </c>
      <c r="B133" s="69" t="str">
        <f t="shared" si="5"/>
        <v>nd</v>
      </c>
      <c r="C133" s="39">
        <v>271387000</v>
      </c>
      <c r="D133" s="82" t="e">
        <f t="shared" si="6"/>
        <v>#VALUE!</v>
      </c>
    </row>
    <row r="134" spans="1:4" x14ac:dyDescent="0.25">
      <c r="A134" s="38">
        <v>1998</v>
      </c>
      <c r="B134" s="69" t="str">
        <f t="shared" si="5"/>
        <v>nd</v>
      </c>
      <c r="C134" s="40">
        <v>271584000</v>
      </c>
      <c r="D134" s="82" t="e">
        <f t="shared" si="6"/>
        <v>#VALUE!</v>
      </c>
    </row>
    <row r="135" spans="1:4" x14ac:dyDescent="0.25">
      <c r="A135" s="37">
        <v>1999</v>
      </c>
      <c r="B135" s="69" t="str">
        <f t="shared" si="5"/>
        <v>nd</v>
      </c>
      <c r="C135" s="39">
        <v>274024000</v>
      </c>
      <c r="D135" s="82" t="e">
        <f t="shared" si="6"/>
        <v>#VALUE!</v>
      </c>
    </row>
    <row r="136" spans="1:4" x14ac:dyDescent="0.25">
      <c r="A136" s="38">
        <v>2000</v>
      </c>
      <c r="B136" s="69">
        <f t="shared" si="5"/>
        <v>4572</v>
      </c>
      <c r="C136" s="40">
        <v>284968955</v>
      </c>
      <c r="D136" s="82">
        <f t="shared" si="6"/>
        <v>1.6043852917241458E-5</v>
      </c>
    </row>
    <row r="137" spans="1:4" x14ac:dyDescent="0.25">
      <c r="A137" s="37">
        <v>2001</v>
      </c>
      <c r="B137" s="69" t="str">
        <f t="shared" si="5"/>
        <v>nd</v>
      </c>
      <c r="C137" s="39">
        <v>287625193</v>
      </c>
      <c r="D137" s="82" t="e">
        <f t="shared" si="6"/>
        <v>#VALUE!</v>
      </c>
    </row>
    <row r="138" spans="1:4" x14ac:dyDescent="0.25">
      <c r="A138" s="38">
        <v>2002</v>
      </c>
      <c r="B138" s="69">
        <f t="shared" si="5"/>
        <v>97350</v>
      </c>
      <c r="C138" s="40">
        <v>290107933</v>
      </c>
      <c r="D138" s="82">
        <f t="shared" si="6"/>
        <v>3.355647637529443E-4</v>
      </c>
    </row>
    <row r="139" spans="1:4" x14ac:dyDescent="0.25">
      <c r="A139" s="37">
        <v>2003</v>
      </c>
      <c r="B139" s="69">
        <f t="shared" si="5"/>
        <v>464569</v>
      </c>
      <c r="C139" s="39">
        <v>292805298</v>
      </c>
      <c r="D139" s="82">
        <f t="shared" si="6"/>
        <v>1.5866140509520426E-3</v>
      </c>
    </row>
    <row r="140" spans="1:4" x14ac:dyDescent="0.25">
      <c r="A140" s="38">
        <v>2004</v>
      </c>
      <c r="B140" s="69">
        <f t="shared" si="5"/>
        <v>431018</v>
      </c>
      <c r="C140" s="40">
        <v>295516599</v>
      </c>
      <c r="D140" s="82">
        <f t="shared" si="6"/>
        <v>1.4585238239020204E-3</v>
      </c>
    </row>
    <row r="141" spans="1:4" x14ac:dyDescent="0.25">
      <c r="A141" s="37">
        <v>2005</v>
      </c>
      <c r="B141" s="69">
        <f t="shared" si="5"/>
        <v>55511</v>
      </c>
      <c r="C141" s="39">
        <v>298379912</v>
      </c>
      <c r="D141" s="82">
        <f t="shared" si="6"/>
        <v>1.8604134449908948E-4</v>
      </c>
    </row>
    <row r="142" spans="1:4" x14ac:dyDescent="0.25">
      <c r="A142" s="38">
        <v>2006</v>
      </c>
      <c r="B142" s="69">
        <f t="shared" si="5"/>
        <v>134778</v>
      </c>
      <c r="C142" s="40">
        <v>301231207</v>
      </c>
      <c r="D142" s="82">
        <f t="shared" si="6"/>
        <v>4.4742376243906231E-4</v>
      </c>
    </row>
    <row r="143" spans="1:4" x14ac:dyDescent="0.25">
      <c r="A143" s="37">
        <v>2007</v>
      </c>
      <c r="B143" s="69">
        <f t="shared" si="5"/>
        <v>91560</v>
      </c>
      <c r="C143" s="39">
        <v>304093966</v>
      </c>
      <c r="D143" s="82">
        <f t="shared" si="6"/>
        <v>3.0109114364998613E-4</v>
      </c>
    </row>
    <row r="144" spans="1:4" x14ac:dyDescent="0.25">
      <c r="A144" s="38">
        <v>2008</v>
      </c>
      <c r="B144" s="69">
        <f t="shared" si="5"/>
        <v>285865</v>
      </c>
      <c r="C144" s="40">
        <v>306771529</v>
      </c>
      <c r="D144" s="82">
        <f t="shared" si="6"/>
        <v>9.3184983929848325E-4</v>
      </c>
    </row>
    <row r="145" spans="1:10" x14ac:dyDescent="0.25">
      <c r="A145" s="37">
        <v>2009</v>
      </c>
      <c r="B145" s="69">
        <f t="shared" si="5"/>
        <v>373110</v>
      </c>
      <c r="C145" s="39">
        <v>308745538</v>
      </c>
      <c r="D145" s="82">
        <f t="shared" si="6"/>
        <v>1.2084709059018044E-3</v>
      </c>
    </row>
    <row r="146" spans="1:10" x14ac:dyDescent="0.25">
      <c r="A146" s="38">
        <v>2010</v>
      </c>
      <c r="B146" s="69">
        <f t="shared" si="5"/>
        <v>828857</v>
      </c>
      <c r="C146" s="40">
        <v>309347057</v>
      </c>
      <c r="D146" s="82">
        <f t="shared" si="6"/>
        <v>2.6793757407557947E-3</v>
      </c>
    </row>
    <row r="147" spans="1:10" x14ac:dyDescent="0.25">
      <c r="A147" s="37">
        <v>2011</v>
      </c>
      <c r="B147" s="69">
        <f t="shared" si="5"/>
        <v>1947323</v>
      </c>
      <c r="C147" s="39">
        <v>311721632</v>
      </c>
      <c r="D147" s="82">
        <f t="shared" si="6"/>
        <v>6.246993471405924E-3</v>
      </c>
    </row>
    <row r="148" spans="1:10" x14ac:dyDescent="0.25">
      <c r="A148" s="38">
        <v>2012</v>
      </c>
      <c r="B148" s="69">
        <f t="shared" si="5"/>
        <v>2961183</v>
      </c>
      <c r="C148" s="40">
        <v>314112078</v>
      </c>
      <c r="D148" s="82">
        <f t="shared" si="6"/>
        <v>9.4271542146812954E-3</v>
      </c>
    </row>
    <row r="149" spans="1:10" x14ac:dyDescent="0.25">
      <c r="A149" s="37">
        <v>2013</v>
      </c>
      <c r="B149" s="69">
        <f t="shared" si="5"/>
        <v>2517989</v>
      </c>
      <c r="C149" s="39">
        <v>316497531</v>
      </c>
      <c r="D149" s="82">
        <f t="shared" si="6"/>
        <v>7.955793500329076E-3</v>
      </c>
    </row>
    <row r="150" spans="1:10" x14ac:dyDescent="0.25">
      <c r="A150" s="38">
        <v>2014</v>
      </c>
      <c r="B150" s="69">
        <f t="shared" si="5"/>
        <v>3166151</v>
      </c>
      <c r="C150" s="40">
        <v>318857056</v>
      </c>
      <c r="D150" s="82">
        <f t="shared" si="6"/>
        <v>9.9296877407034703E-3</v>
      </c>
    </row>
    <row r="151" spans="1:10" x14ac:dyDescent="0.25">
      <c r="A151" s="37">
        <v>2015</v>
      </c>
      <c r="B151" s="69">
        <f t="shared" si="5"/>
        <v>1202045</v>
      </c>
      <c r="C151" s="39">
        <v>321418820</v>
      </c>
      <c r="D151" s="82">
        <f t="shared" si="6"/>
        <v>3.7398090130503249E-3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67" t="s">
        <v>3</v>
      </c>
      <c r="B155" s="34" t="s">
        <v>67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88">
        <f>B65</f>
        <v>2.257086819</v>
      </c>
      <c r="C156" s="39">
        <v>253620000</v>
      </c>
      <c r="D156" s="81">
        <f>(B156/C156)*1000000</f>
        <v>8.8994827655547674E-3</v>
      </c>
    </row>
    <row r="157" spans="1:10" x14ac:dyDescent="0.25">
      <c r="A157" s="38">
        <v>1992</v>
      </c>
      <c r="B157" s="88">
        <f t="shared" ref="B157:B180" si="7">B66</f>
        <v>4.6028069089999999</v>
      </c>
      <c r="C157" s="40">
        <v>256516000</v>
      </c>
      <c r="D157" s="81">
        <f t="shared" ref="D157:D180" si="8">(B157/C157)*1000000</f>
        <v>1.794354702630635E-2</v>
      </c>
    </row>
    <row r="158" spans="1:10" x14ac:dyDescent="0.25">
      <c r="A158" s="37">
        <v>1993</v>
      </c>
      <c r="B158" s="88" t="e">
        <f t="shared" si="7"/>
        <v>#VALUE!</v>
      </c>
      <c r="C158" s="39">
        <v>259131000</v>
      </c>
      <c r="D158" s="81" t="e">
        <f t="shared" si="8"/>
        <v>#VALUE!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88">
        <f t="shared" si="7"/>
        <v>5.1758210900000003</v>
      </c>
      <c r="C159" s="40">
        <v>264061000</v>
      </c>
      <c r="D159" s="81">
        <f t="shared" si="8"/>
        <v>1.9600853931477955E-2</v>
      </c>
    </row>
    <row r="160" spans="1:10" x14ac:dyDescent="0.25">
      <c r="A160" s="37">
        <v>1995</v>
      </c>
      <c r="B160" s="88">
        <f t="shared" si="7"/>
        <v>19.175912</v>
      </c>
      <c r="C160" s="39">
        <v>266398000</v>
      </c>
      <c r="D160" s="81">
        <f t="shared" si="8"/>
        <v>7.1982192058498942E-2</v>
      </c>
    </row>
    <row r="161" spans="1:4" x14ac:dyDescent="0.25">
      <c r="A161" s="38">
        <v>1996</v>
      </c>
      <c r="B161" s="88">
        <f t="shared" si="7"/>
        <v>18.6128176</v>
      </c>
      <c r="C161" s="40">
        <v>268930000</v>
      </c>
      <c r="D161" s="81">
        <f t="shared" si="8"/>
        <v>6.9210640687167674E-2</v>
      </c>
    </row>
    <row r="162" spans="1:4" x14ac:dyDescent="0.25">
      <c r="A162" s="37">
        <v>1997</v>
      </c>
      <c r="B162" s="88" t="e">
        <f t="shared" si="7"/>
        <v>#VALUE!</v>
      </c>
      <c r="C162" s="39">
        <v>271387000</v>
      </c>
      <c r="D162" s="81" t="e">
        <f t="shared" si="8"/>
        <v>#VALUE!</v>
      </c>
    </row>
    <row r="163" spans="1:4" x14ac:dyDescent="0.25">
      <c r="A163" s="38">
        <v>1998</v>
      </c>
      <c r="B163" s="88" t="e">
        <f t="shared" si="7"/>
        <v>#VALUE!</v>
      </c>
      <c r="C163" s="40">
        <v>271584000</v>
      </c>
      <c r="D163" s="81" t="e">
        <f t="shared" si="8"/>
        <v>#VALUE!</v>
      </c>
    </row>
    <row r="164" spans="1:4" x14ac:dyDescent="0.25">
      <c r="A164" s="37">
        <v>1999</v>
      </c>
      <c r="B164" s="88" t="e">
        <f t="shared" si="7"/>
        <v>#VALUE!</v>
      </c>
      <c r="C164" s="39">
        <v>274024000</v>
      </c>
      <c r="D164" s="81" t="e">
        <f t="shared" si="8"/>
        <v>#VALUE!</v>
      </c>
    </row>
    <row r="165" spans="1:4" x14ac:dyDescent="0.25">
      <c r="A165" s="38">
        <v>2000</v>
      </c>
      <c r="B165" s="88">
        <f t="shared" si="7"/>
        <v>22.640009572</v>
      </c>
      <c r="C165" s="40">
        <v>284968955</v>
      </c>
      <c r="D165" s="81">
        <f t="shared" si="8"/>
        <v>7.9447284255928854E-2</v>
      </c>
    </row>
    <row r="166" spans="1:4" x14ac:dyDescent="0.25">
      <c r="A166" s="37">
        <v>2001</v>
      </c>
      <c r="B166" s="88" t="e">
        <f t="shared" si="7"/>
        <v>#VALUE!</v>
      </c>
      <c r="C166" s="39">
        <v>287625193</v>
      </c>
      <c r="D166" s="81" t="e">
        <f t="shared" si="8"/>
        <v>#VALUE!</v>
      </c>
    </row>
    <row r="167" spans="1:4" x14ac:dyDescent="0.25">
      <c r="A167" s="38">
        <v>2002</v>
      </c>
      <c r="B167" s="88">
        <f t="shared" si="7"/>
        <v>19.855439350000001</v>
      </c>
      <c r="C167" s="40">
        <v>290107933</v>
      </c>
      <c r="D167" s="81">
        <f t="shared" si="8"/>
        <v>6.8441559472970356E-2</v>
      </c>
    </row>
    <row r="168" spans="1:4" x14ac:dyDescent="0.25">
      <c r="A168" s="37">
        <v>2003</v>
      </c>
      <c r="B168" s="88">
        <f t="shared" si="7"/>
        <v>16.820433568999999</v>
      </c>
      <c r="C168" s="39">
        <v>292805298</v>
      </c>
      <c r="D168" s="81">
        <f t="shared" si="8"/>
        <v>5.7445796520389461E-2</v>
      </c>
    </row>
    <row r="169" spans="1:4" x14ac:dyDescent="0.25">
      <c r="A169" s="38">
        <v>2004</v>
      </c>
      <c r="B169" s="88">
        <f t="shared" si="7"/>
        <v>9.0791770180000011</v>
      </c>
      <c r="C169" s="40">
        <v>295516599</v>
      </c>
      <c r="D169" s="81">
        <f t="shared" si="8"/>
        <v>3.0723069528828736E-2</v>
      </c>
    </row>
    <row r="170" spans="1:4" x14ac:dyDescent="0.25">
      <c r="A170" s="37">
        <v>2005</v>
      </c>
      <c r="B170" s="88">
        <f t="shared" si="7"/>
        <v>17.797491511</v>
      </c>
      <c r="C170" s="39">
        <v>298379912</v>
      </c>
      <c r="D170" s="81">
        <f t="shared" si="8"/>
        <v>5.9647083450443547E-2</v>
      </c>
    </row>
    <row r="171" spans="1:4" x14ac:dyDescent="0.25">
      <c r="A171" s="38">
        <v>2006</v>
      </c>
      <c r="B171" s="88">
        <f t="shared" si="7"/>
        <v>17.431362778</v>
      </c>
      <c r="C171" s="40">
        <v>301231207</v>
      </c>
      <c r="D171" s="81">
        <f t="shared" si="8"/>
        <v>5.7867054849997664E-2</v>
      </c>
    </row>
    <row r="172" spans="1:4" x14ac:dyDescent="0.25">
      <c r="A172" s="37">
        <v>2007</v>
      </c>
      <c r="B172" s="88">
        <f t="shared" si="7"/>
        <v>22.135063560000003</v>
      </c>
      <c r="C172" s="39">
        <v>304093966</v>
      </c>
      <c r="D172" s="81">
        <f t="shared" si="8"/>
        <v>7.2790209720899238E-2</v>
      </c>
    </row>
    <row r="173" spans="1:4" x14ac:dyDescent="0.25">
      <c r="A173" s="38">
        <v>2008</v>
      </c>
      <c r="B173" s="88">
        <f t="shared" si="7"/>
        <v>33.683987864999999</v>
      </c>
      <c r="C173" s="40">
        <v>306771529</v>
      </c>
      <c r="D173" s="81">
        <f t="shared" si="8"/>
        <v>0.10980154506124327</v>
      </c>
    </row>
    <row r="174" spans="1:4" x14ac:dyDescent="0.25">
      <c r="A174" s="37">
        <v>2009</v>
      </c>
      <c r="B174" s="88">
        <f t="shared" si="7"/>
        <v>29.724785110000003</v>
      </c>
      <c r="C174" s="39">
        <v>308745538</v>
      </c>
      <c r="D174" s="81">
        <f t="shared" si="8"/>
        <v>9.6275999007311971E-2</v>
      </c>
    </row>
    <row r="175" spans="1:4" x14ac:dyDescent="0.25">
      <c r="A175" s="38">
        <v>2010</v>
      </c>
      <c r="B175" s="88">
        <f t="shared" si="7"/>
        <v>40.215627857000001</v>
      </c>
      <c r="C175" s="40">
        <v>309347057</v>
      </c>
      <c r="D175" s="81">
        <f t="shared" si="8"/>
        <v>0.13000165007873341</v>
      </c>
    </row>
    <row r="176" spans="1:4" x14ac:dyDescent="0.25">
      <c r="A176" s="37">
        <v>2011</v>
      </c>
      <c r="B176" s="88">
        <f t="shared" si="7"/>
        <v>57.537067323000002</v>
      </c>
      <c r="C176" s="39">
        <v>311721632</v>
      </c>
      <c r="D176" s="81">
        <f t="shared" si="8"/>
        <v>0.18457835907583084</v>
      </c>
    </row>
    <row r="177" spans="1:4" x14ac:dyDescent="0.25">
      <c r="A177" s="38">
        <v>2012</v>
      </c>
      <c r="B177" s="88">
        <f t="shared" si="7"/>
        <v>81.67837918299999</v>
      </c>
      <c r="C177" s="40">
        <v>314112078</v>
      </c>
      <c r="D177" s="81">
        <f t="shared" si="8"/>
        <v>0.26002941275948005</v>
      </c>
    </row>
    <row r="178" spans="1:4" x14ac:dyDescent="0.25">
      <c r="A178" s="37">
        <v>2013</v>
      </c>
      <c r="B178" s="88">
        <f t="shared" si="7"/>
        <v>143.858102989</v>
      </c>
      <c r="C178" s="39">
        <v>316497531</v>
      </c>
      <c r="D178" s="81">
        <f t="shared" si="8"/>
        <v>0.45453151730589647</v>
      </c>
    </row>
    <row r="179" spans="1:4" x14ac:dyDescent="0.25">
      <c r="A179" s="38">
        <v>2014</v>
      </c>
      <c r="B179" s="88">
        <f t="shared" si="7"/>
        <v>217.69988715099998</v>
      </c>
      <c r="C179" s="40">
        <v>318857056</v>
      </c>
      <c r="D179" s="81">
        <f t="shared" si="8"/>
        <v>0.68275072812251014</v>
      </c>
    </row>
    <row r="180" spans="1:4" x14ac:dyDescent="0.25">
      <c r="A180" s="37">
        <v>2015</v>
      </c>
      <c r="B180" s="88">
        <f t="shared" si="7"/>
        <v>167.278326045</v>
      </c>
      <c r="C180" s="39">
        <v>321418820</v>
      </c>
      <c r="D180" s="81">
        <f t="shared" si="8"/>
        <v>0.52043724771623512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topLeftCell="A72" workbookViewId="0">
      <selection activeCell="B17" sqref="B17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143</v>
      </c>
      <c r="D5" s="13" t="s">
        <v>14</v>
      </c>
      <c r="E5" s="14" t="s">
        <v>4</v>
      </c>
    </row>
    <row r="6" spans="2:12" x14ac:dyDescent="0.25">
      <c r="B6" s="10">
        <v>1991</v>
      </c>
      <c r="C6" s="87">
        <f>'Export 01'!B2</f>
        <v>4819</v>
      </c>
      <c r="D6" s="2">
        <v>30.88664</v>
      </c>
      <c r="E6" s="41">
        <f t="shared" ref="E6:E30" si="0">(C6/D6)/1000000000000</f>
        <v>1.5602215067744501E-10</v>
      </c>
    </row>
    <row r="7" spans="2:12" x14ac:dyDescent="0.25">
      <c r="B7" s="10">
        <v>1992</v>
      </c>
      <c r="C7" s="87">
        <f>'Export 01'!B3</f>
        <v>90909</v>
      </c>
      <c r="D7" s="2">
        <v>36.748779999999996</v>
      </c>
      <c r="E7" s="41">
        <f t="shared" si="0"/>
        <v>2.4737964090236471E-9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87" t="str">
        <f>'Export 01'!B4</f>
        <v>nd</v>
      </c>
      <c r="D8" s="2">
        <v>54.163779999999996</v>
      </c>
      <c r="E8" s="41" t="e">
        <f t="shared" si="0"/>
        <v>#VALUE!</v>
      </c>
    </row>
    <row r="9" spans="2:12" x14ac:dyDescent="0.25">
      <c r="B9" s="10">
        <v>1994</v>
      </c>
      <c r="C9" s="87">
        <f>'Export 01'!B5</f>
        <v>17090</v>
      </c>
      <c r="D9" s="2">
        <v>82.613830000000007</v>
      </c>
      <c r="E9" s="41">
        <f t="shared" si="0"/>
        <v>2.0686609009653708E-10</v>
      </c>
    </row>
    <row r="10" spans="2:12" x14ac:dyDescent="0.25">
      <c r="B10" s="10">
        <v>1995</v>
      </c>
      <c r="C10" s="87">
        <f>'Export 01'!B6</f>
        <v>36000</v>
      </c>
      <c r="D10" s="2">
        <v>97.478279999999998</v>
      </c>
      <c r="E10" s="41">
        <f t="shared" si="0"/>
        <v>3.6931304081278414E-10</v>
      </c>
    </row>
    <row r="11" spans="2:12" x14ac:dyDescent="0.25">
      <c r="B11" s="10">
        <v>1996</v>
      </c>
      <c r="C11" s="87">
        <f>'Export 01'!B7</f>
        <v>47600</v>
      </c>
      <c r="D11" s="2">
        <v>137.40472</v>
      </c>
      <c r="E11" s="41">
        <f t="shared" si="0"/>
        <v>3.464218696417416E-10</v>
      </c>
    </row>
    <row r="12" spans="2:12" x14ac:dyDescent="0.25">
      <c r="B12" s="10">
        <v>1997</v>
      </c>
      <c r="C12" s="87" t="str">
        <f>'Export 01'!B8</f>
        <v>nd</v>
      </c>
      <c r="D12" s="2">
        <v>168.40043</v>
      </c>
      <c r="E12" s="41" t="e">
        <f t="shared" si="0"/>
        <v>#VALUE!</v>
      </c>
    </row>
    <row r="13" spans="2:12" x14ac:dyDescent="0.25">
      <c r="B13" s="10">
        <v>1998</v>
      </c>
      <c r="C13" s="87" t="str">
        <f>'Export 01'!B9</f>
        <v>nd</v>
      </c>
      <c r="D13" s="2">
        <v>184.64424</v>
      </c>
      <c r="E13" s="41" t="e">
        <f t="shared" si="0"/>
        <v>#VALUE!</v>
      </c>
    </row>
    <row r="14" spans="2:12" x14ac:dyDescent="0.25">
      <c r="B14" s="10">
        <v>1999</v>
      </c>
      <c r="C14" s="87" t="str">
        <f>'Export 01'!B10</f>
        <v>nd</v>
      </c>
      <c r="D14" s="2">
        <v>182.49723999999998</v>
      </c>
      <c r="E14" s="41" t="e">
        <f t="shared" si="0"/>
        <v>#VALUE!</v>
      </c>
    </row>
    <row r="15" spans="2:12" x14ac:dyDescent="0.25">
      <c r="B15" s="10">
        <v>2000</v>
      </c>
      <c r="C15" s="87">
        <f>'Export 01'!B11</f>
        <v>4572</v>
      </c>
      <c r="D15" s="2">
        <v>173.83799999999999</v>
      </c>
      <c r="E15" s="41">
        <f t="shared" si="0"/>
        <v>2.630034860042108E-11</v>
      </c>
    </row>
    <row r="16" spans="2:12" x14ac:dyDescent="0.25">
      <c r="B16" s="10">
        <v>2001</v>
      </c>
      <c r="C16" s="87" t="str">
        <f>'Export 01'!B12</f>
        <v>nd</v>
      </c>
      <c r="D16" s="2">
        <v>169.57254999999998</v>
      </c>
      <c r="E16" s="41" t="e">
        <f t="shared" si="0"/>
        <v>#VALUE!</v>
      </c>
    </row>
    <row r="17" spans="2:5" x14ac:dyDescent="0.25">
      <c r="B17" s="10">
        <v>2002</v>
      </c>
      <c r="C17" s="87">
        <f>'Export 01'!B13</f>
        <v>97350</v>
      </c>
      <c r="D17" s="2">
        <v>193.08387999999999</v>
      </c>
      <c r="E17" s="41">
        <f t="shared" si="0"/>
        <v>5.0418502052061521E-10</v>
      </c>
    </row>
    <row r="18" spans="2:5" x14ac:dyDescent="0.25">
      <c r="B18" s="10">
        <v>2003</v>
      </c>
      <c r="C18" s="87">
        <f>'Export 01'!B14</f>
        <v>464569</v>
      </c>
      <c r="D18" s="2">
        <v>203.78914</v>
      </c>
      <c r="E18" s="41">
        <f t="shared" si="0"/>
        <v>2.2796553339397769E-9</v>
      </c>
    </row>
    <row r="19" spans="2:5" x14ac:dyDescent="0.25">
      <c r="B19" s="10">
        <v>2004</v>
      </c>
      <c r="C19" s="87">
        <f>'Export 01'!B15</f>
        <v>431018</v>
      </c>
      <c r="D19" s="2">
        <v>220.41551999999999</v>
      </c>
      <c r="E19" s="41">
        <f t="shared" si="0"/>
        <v>1.9554793600741001E-9</v>
      </c>
    </row>
    <row r="20" spans="2:5" x14ac:dyDescent="0.25">
      <c r="B20" s="10">
        <v>2005</v>
      </c>
      <c r="C20" s="87">
        <f>'Export 01'!B16</f>
        <v>55511</v>
      </c>
      <c r="D20" s="2">
        <v>255.02369000000002</v>
      </c>
      <c r="E20" s="41">
        <f t="shared" si="0"/>
        <v>2.1766997411103256E-10</v>
      </c>
    </row>
    <row r="21" spans="2:5" x14ac:dyDescent="0.25">
      <c r="B21" s="10">
        <v>2006</v>
      </c>
      <c r="C21" s="87">
        <f>'Export 01'!B17</f>
        <v>134778</v>
      </c>
      <c r="D21" s="2">
        <v>289.62955999999997</v>
      </c>
      <c r="E21" s="41">
        <f t="shared" si="0"/>
        <v>4.6534614767912509E-10</v>
      </c>
    </row>
    <row r="22" spans="2:5" x14ac:dyDescent="0.25">
      <c r="B22" s="10">
        <v>2007</v>
      </c>
      <c r="C22" s="87">
        <f>'Export 01'!B18</f>
        <v>91560</v>
      </c>
      <c r="D22" s="2">
        <v>315.86653999999999</v>
      </c>
      <c r="E22" s="41">
        <f t="shared" si="0"/>
        <v>2.8986925933971984E-10</v>
      </c>
    </row>
    <row r="23" spans="2:5" x14ac:dyDescent="0.25">
      <c r="B23" s="10">
        <v>2008</v>
      </c>
      <c r="C23" s="87">
        <f>'Export 01'!B19</f>
        <v>285865</v>
      </c>
      <c r="D23" s="2">
        <v>356.99453000000005</v>
      </c>
      <c r="E23" s="41">
        <f t="shared" si="0"/>
        <v>8.0075456618340886E-10</v>
      </c>
    </row>
    <row r="24" spans="2:5" x14ac:dyDescent="0.25">
      <c r="B24" s="10">
        <v>2009</v>
      </c>
      <c r="C24" s="87">
        <f>'Export 01'!B20</f>
        <v>373110</v>
      </c>
      <c r="D24" s="2">
        <v>413.96373999999997</v>
      </c>
      <c r="E24" s="41">
        <f t="shared" si="0"/>
        <v>9.0131082495292951E-10</v>
      </c>
    </row>
    <row r="25" spans="2:5" x14ac:dyDescent="0.25">
      <c r="B25" s="10">
        <v>2010</v>
      </c>
      <c r="C25" s="87">
        <f>'Export 01'!B21</f>
        <v>828857</v>
      </c>
      <c r="D25" s="2">
        <v>476.72912000000002</v>
      </c>
      <c r="E25" s="41">
        <f t="shared" si="0"/>
        <v>1.7386330417575499E-9</v>
      </c>
    </row>
    <row r="26" spans="2:5" x14ac:dyDescent="0.25">
      <c r="B26" s="10">
        <v>2011</v>
      </c>
      <c r="C26" s="87">
        <f>'Export 01'!B22</f>
        <v>1947323</v>
      </c>
      <c r="D26" s="2">
        <v>449.90528999999998</v>
      </c>
      <c r="E26" s="41">
        <f t="shared" si="0"/>
        <v>4.3282954063509676E-9</v>
      </c>
    </row>
    <row r="27" spans="2:5" x14ac:dyDescent="0.25">
      <c r="B27" s="10">
        <v>2012</v>
      </c>
      <c r="C27" s="87">
        <f>'Export 01'!B23</f>
        <v>2961183</v>
      </c>
      <c r="D27" s="2">
        <v>494.70812999999998</v>
      </c>
      <c r="E27" s="41">
        <f t="shared" si="0"/>
        <v>5.9857172753558749E-9</v>
      </c>
    </row>
    <row r="28" spans="2:5" x14ac:dyDescent="0.25">
      <c r="B28" s="10">
        <v>2013</v>
      </c>
      <c r="C28" s="87">
        <f>'Export 01'!B24</f>
        <v>2517989</v>
      </c>
      <c r="D28" s="2">
        <v>585.44633999999996</v>
      </c>
      <c r="E28" s="41">
        <f t="shared" si="0"/>
        <v>4.300973168608416E-9</v>
      </c>
    </row>
    <row r="29" spans="2:5" x14ac:dyDescent="0.25">
      <c r="B29" s="10">
        <v>2014</v>
      </c>
      <c r="C29" s="87">
        <f>'Export 01'!B25</f>
        <v>3166151</v>
      </c>
      <c r="D29" s="2">
        <v>607.30944999999997</v>
      </c>
      <c r="E29" s="41">
        <f t="shared" si="0"/>
        <v>5.2134064437824901E-9</v>
      </c>
    </row>
    <row r="30" spans="2:5" x14ac:dyDescent="0.25">
      <c r="B30" s="11">
        <v>2015</v>
      </c>
      <c r="C30" s="87">
        <f>'Export 01'!B26</f>
        <v>1202045</v>
      </c>
      <c r="D30" s="2">
        <v>645.33130000000006</v>
      </c>
      <c r="E30" s="41">
        <f t="shared" si="0"/>
        <v>1.8626789061680411E-9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  <c r="G35">
        <v>225700000</v>
      </c>
      <c r="H35">
        <v>30886640000000</v>
      </c>
      <c r="I35">
        <f>G35/H35</f>
        <v>7.307366550715779E-6</v>
      </c>
    </row>
    <row r="36" spans="2:12" ht="60" x14ac:dyDescent="0.25">
      <c r="B36" s="12" t="s">
        <v>3</v>
      </c>
      <c r="C36" s="13" t="s">
        <v>16</v>
      </c>
      <c r="D36" s="13" t="s">
        <v>14</v>
      </c>
      <c r="E36" s="14" t="s">
        <v>81</v>
      </c>
    </row>
    <row r="37" spans="2:12" x14ac:dyDescent="0.25">
      <c r="B37" s="10">
        <v>1991</v>
      </c>
      <c r="C37" s="88">
        <f>' Per Cápita 01'!B36</f>
        <v>2.257082</v>
      </c>
      <c r="D37" s="2">
        <v>30.88664</v>
      </c>
      <c r="E37" s="75">
        <f t="shared" ref="E37:E61" si="1">(C37/D37)/1000000</f>
        <v>7.3076320376706569E-8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88">
        <f>' Per Cápita 01'!B37</f>
        <v>4.602716</v>
      </c>
      <c r="D38" s="2">
        <v>36.748779999999996</v>
      </c>
      <c r="E38" s="75">
        <f t="shared" si="1"/>
        <v>1.252481306862432E-7</v>
      </c>
    </row>
    <row r="39" spans="2:12" x14ac:dyDescent="0.25">
      <c r="B39" s="10">
        <v>1993</v>
      </c>
      <c r="C39" s="88">
        <f>' Per Cápita 01'!B38</f>
        <v>5.4465870000000001</v>
      </c>
      <c r="D39" s="2">
        <v>54.163779999999996</v>
      </c>
      <c r="E39" s="75">
        <f t="shared" si="1"/>
        <v>1.0055773433833459E-7</v>
      </c>
    </row>
    <row r="40" spans="2:12" x14ac:dyDescent="0.25">
      <c r="B40" s="10">
        <v>1994</v>
      </c>
      <c r="C40" s="88">
        <f>' Per Cápita 01'!B39</f>
        <v>5.1758040000000003</v>
      </c>
      <c r="D40" s="2">
        <v>82.613830000000007</v>
      </c>
      <c r="E40" s="75">
        <f t="shared" si="1"/>
        <v>6.2650575575542255E-8</v>
      </c>
    </row>
    <row r="41" spans="2:12" x14ac:dyDescent="0.25">
      <c r="B41" s="10">
        <v>1995</v>
      </c>
      <c r="C41" s="88">
        <f>' Per Cápita 01'!B40</f>
        <v>19.175875999999999</v>
      </c>
      <c r="D41" s="2">
        <v>97.478279999999998</v>
      </c>
      <c r="E41" s="75">
        <f t="shared" si="1"/>
        <v>1.9671947432802468E-7</v>
      </c>
    </row>
    <row r="42" spans="2:12" x14ac:dyDescent="0.25">
      <c r="B42" s="10">
        <v>1996</v>
      </c>
      <c r="C42" s="88">
        <f>' Per Cápita 01'!B41</f>
        <v>18.612770000000001</v>
      </c>
      <c r="D42" s="2">
        <v>137.40472</v>
      </c>
      <c r="E42" s="75">
        <f t="shared" si="1"/>
        <v>1.3545946602125459E-7</v>
      </c>
    </row>
    <row r="43" spans="2:12" x14ac:dyDescent="0.25">
      <c r="B43" s="10">
        <v>1997</v>
      </c>
      <c r="C43" s="88">
        <f>' Per Cápita 01'!B42</f>
        <v>23.088234</v>
      </c>
      <c r="D43" s="2">
        <v>168.40043</v>
      </c>
      <c r="E43" s="75">
        <f t="shared" si="1"/>
        <v>1.3710317723060444E-7</v>
      </c>
    </row>
    <row r="44" spans="2:12" x14ac:dyDescent="0.25">
      <c r="B44" s="10">
        <v>1998</v>
      </c>
      <c r="C44" s="88">
        <f>' Per Cápita 01'!B43</f>
        <v>28.916785999999998</v>
      </c>
      <c r="D44" s="2">
        <v>184.64424</v>
      </c>
      <c r="E44" s="75">
        <f t="shared" si="1"/>
        <v>1.5660811298527371E-7</v>
      </c>
    </row>
    <row r="45" spans="2:12" x14ac:dyDescent="0.25">
      <c r="B45" s="10">
        <v>1999</v>
      </c>
      <c r="C45" s="88">
        <f>' Per Cápita 01'!B44</f>
        <v>22.478852</v>
      </c>
      <c r="D45" s="2">
        <v>182.49723999999998</v>
      </c>
      <c r="E45" s="75">
        <f t="shared" si="1"/>
        <v>1.2317365457143352E-7</v>
      </c>
    </row>
    <row r="46" spans="2:12" x14ac:dyDescent="0.25">
      <c r="B46" s="10">
        <v>2000</v>
      </c>
      <c r="C46" s="88">
        <f>' Per Cápita 01'!B45</f>
        <v>22.640004999999999</v>
      </c>
      <c r="D46" s="2">
        <v>173.83799999999999</v>
      </c>
      <c r="E46" s="75">
        <f t="shared" si="1"/>
        <v>1.3023622568138152E-7</v>
      </c>
    </row>
    <row r="47" spans="2:12" x14ac:dyDescent="0.25">
      <c r="B47" s="10">
        <v>2001</v>
      </c>
      <c r="C47" s="88">
        <f>' Per Cápita 01'!B46</f>
        <v>23.962071000000002</v>
      </c>
      <c r="D47" s="2">
        <v>169.57254999999998</v>
      </c>
      <c r="E47" s="75">
        <f t="shared" si="1"/>
        <v>1.4130866699828483E-7</v>
      </c>
    </row>
    <row r="48" spans="2:12" x14ac:dyDescent="0.25">
      <c r="B48" s="10">
        <v>2002</v>
      </c>
      <c r="C48" s="88">
        <f>' Per Cápita 01'!B47</f>
        <v>19.855342</v>
      </c>
      <c r="D48" s="2">
        <v>193.08387999999999</v>
      </c>
      <c r="E48" s="75">
        <f t="shared" si="1"/>
        <v>1.0283272741359869E-7</v>
      </c>
    </row>
    <row r="49" spans="2:6" x14ac:dyDescent="0.25">
      <c r="B49" s="10">
        <v>2003</v>
      </c>
      <c r="C49" s="88">
        <f>' Per Cápita 01'!B48</f>
        <v>16.819969</v>
      </c>
      <c r="D49" s="2">
        <v>203.78914</v>
      </c>
      <c r="E49" s="75">
        <f t="shared" si="1"/>
        <v>8.2536140051427655E-8</v>
      </c>
    </row>
    <row r="50" spans="2:6" x14ac:dyDescent="0.25">
      <c r="B50" s="10">
        <v>2004</v>
      </c>
      <c r="C50" s="88">
        <f>' Per Cápita 01'!B49</f>
        <v>9.0787460000000006</v>
      </c>
      <c r="D50" s="2">
        <v>220.41551999999999</v>
      </c>
      <c r="E50" s="75">
        <f t="shared" si="1"/>
        <v>4.1189232046817761E-8</v>
      </c>
    </row>
    <row r="51" spans="2:6" x14ac:dyDescent="0.25">
      <c r="B51" s="10">
        <v>2005</v>
      </c>
      <c r="C51" s="88">
        <f>' Per Cápita 01'!B50</f>
        <v>17.797436000000001</v>
      </c>
      <c r="D51" s="2">
        <v>255.02369000000002</v>
      </c>
      <c r="E51" s="75">
        <f t="shared" si="1"/>
        <v>6.9787383281921775E-8</v>
      </c>
    </row>
    <row r="52" spans="2:6" x14ac:dyDescent="0.25">
      <c r="B52" s="10">
        <v>2006</v>
      </c>
      <c r="C52" s="88">
        <f>' Per Cápita 01'!B51</f>
        <v>17.431228000000001</v>
      </c>
      <c r="D52" s="2">
        <v>289.62955999999997</v>
      </c>
      <c r="E52" s="75">
        <f t="shared" si="1"/>
        <v>6.0184561271991717E-8</v>
      </c>
    </row>
    <row r="53" spans="2:6" x14ac:dyDescent="0.25">
      <c r="B53" s="10">
        <v>2007</v>
      </c>
      <c r="C53" s="88">
        <f>' Per Cápita 01'!B52</f>
        <v>22.134972000000001</v>
      </c>
      <c r="D53" s="2">
        <v>315.86653999999999</v>
      </c>
      <c r="E53" s="75">
        <f t="shared" si="1"/>
        <v>7.0076976181142832E-8</v>
      </c>
    </row>
    <row r="54" spans="2:6" x14ac:dyDescent="0.25">
      <c r="B54" s="10">
        <v>2008</v>
      </c>
      <c r="C54" s="88">
        <f>' Per Cápita 01'!B53</f>
        <v>33.683701999999997</v>
      </c>
      <c r="D54" s="2">
        <v>356.99453000000005</v>
      </c>
      <c r="E54" s="75">
        <f t="shared" si="1"/>
        <v>9.4353552139860494E-8</v>
      </c>
    </row>
    <row r="55" spans="2:6" x14ac:dyDescent="0.25">
      <c r="B55" s="10">
        <v>2009</v>
      </c>
      <c r="C55" s="88">
        <f>' Per Cápita 01'!B54</f>
        <v>29.724412000000001</v>
      </c>
      <c r="D55" s="2">
        <v>413.96373999999997</v>
      </c>
      <c r="E55" s="75">
        <f t="shared" si="1"/>
        <v>7.1804385572514154E-8</v>
      </c>
    </row>
    <row r="56" spans="2:6" x14ac:dyDescent="0.25">
      <c r="B56" s="10">
        <v>2010</v>
      </c>
      <c r="C56" s="88">
        <f>' Per Cápita 01'!B55</f>
        <v>40.214798999999999</v>
      </c>
      <c r="D56" s="2">
        <v>476.72912000000002</v>
      </c>
      <c r="E56" s="75">
        <f t="shared" si="1"/>
        <v>8.4355658827805598E-8</v>
      </c>
    </row>
    <row r="57" spans="2:6" x14ac:dyDescent="0.25">
      <c r="B57" s="10">
        <v>2011</v>
      </c>
      <c r="C57" s="88">
        <f>' Per Cápita 01'!B56</f>
        <v>57.535119999999999</v>
      </c>
      <c r="D57" s="2">
        <v>449.90528999999998</v>
      </c>
      <c r="E57" s="75">
        <f t="shared" si="1"/>
        <v>1.2788273727566084E-7</v>
      </c>
    </row>
    <row r="58" spans="2:6" x14ac:dyDescent="0.25">
      <c r="B58" s="10">
        <v>2012</v>
      </c>
      <c r="C58" s="88">
        <f>' Per Cápita 01'!B57</f>
        <v>81.675417999999993</v>
      </c>
      <c r="D58" s="2">
        <v>494.70812999999998</v>
      </c>
      <c r="E58" s="75">
        <f t="shared" si="1"/>
        <v>1.6509819234222005E-7</v>
      </c>
    </row>
    <row r="59" spans="2:6" x14ac:dyDescent="0.25">
      <c r="B59" s="10">
        <v>2013</v>
      </c>
      <c r="C59" s="88">
        <f>' Per Cápita 01'!B58</f>
        <v>143.85558499999999</v>
      </c>
      <c r="D59" s="2">
        <v>585.44633999999996</v>
      </c>
      <c r="E59" s="75">
        <f t="shared" si="1"/>
        <v>2.4571950522399713E-7</v>
      </c>
    </row>
    <row r="60" spans="2:6" x14ac:dyDescent="0.25">
      <c r="B60" s="10">
        <v>2014</v>
      </c>
      <c r="C60" s="88">
        <f>' Per Cápita 01'!B59</f>
        <v>217.696721</v>
      </c>
      <c r="D60" s="2">
        <v>607.30944999999997</v>
      </c>
      <c r="E60" s="75">
        <f t="shared" si="1"/>
        <v>3.5846094770960666E-7</v>
      </c>
    </row>
    <row r="61" spans="2:6" x14ac:dyDescent="0.25">
      <c r="B61" s="11">
        <v>2015</v>
      </c>
      <c r="C61" s="88">
        <f>' Per Cápita 01'!B60</f>
        <v>167.27712399999999</v>
      </c>
      <c r="D61" s="2">
        <v>645.33130000000006</v>
      </c>
      <c r="E61" s="75">
        <f t="shared" si="1"/>
        <v>2.5921123615110558E-7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90" x14ac:dyDescent="0.25">
      <c r="B67" s="12" t="s">
        <v>3</v>
      </c>
      <c r="C67" s="13" t="s">
        <v>83</v>
      </c>
      <c r="D67" s="13" t="s">
        <v>87</v>
      </c>
      <c r="E67" s="14" t="s">
        <v>82</v>
      </c>
    </row>
    <row r="68" spans="2:12" x14ac:dyDescent="0.25">
      <c r="B68" s="10">
        <v>1991</v>
      </c>
      <c r="C68" s="80">
        <f>' Per Cápita 01'!B65</f>
        <v>2.257086819</v>
      </c>
      <c r="D68" s="2">
        <f>D37*2</f>
        <v>61.77328</v>
      </c>
      <c r="E68" s="41">
        <f t="shared" ref="E68:E92" si="2">(C68/D68)/10000000</f>
        <v>3.6538238199428618E-9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80">
        <f>' Per Cápita 01'!B66</f>
        <v>4.6028069089999999</v>
      </c>
      <c r="D69" s="2">
        <f t="shared" ref="D69:D92" si="3">D38*2</f>
        <v>73.497559999999993</v>
      </c>
      <c r="E69" s="41">
        <f t="shared" si="2"/>
        <v>6.2625302241326109E-9</v>
      </c>
    </row>
    <row r="70" spans="2:12" x14ac:dyDescent="0.25">
      <c r="B70" s="10">
        <v>1993</v>
      </c>
      <c r="C70" s="80" t="e">
        <f>' Per Cápita 01'!B67</f>
        <v>#VALUE!</v>
      </c>
      <c r="D70" s="2">
        <f t="shared" si="3"/>
        <v>108.32755999999999</v>
      </c>
      <c r="E70" s="41" t="e">
        <f t="shared" si="2"/>
        <v>#VALUE!</v>
      </c>
    </row>
    <row r="71" spans="2:12" x14ac:dyDescent="0.25">
      <c r="B71" s="10">
        <v>1994</v>
      </c>
      <c r="C71" s="80">
        <f>' Per Cápita 01'!B68</f>
        <v>5.1758210900000003</v>
      </c>
      <c r="D71" s="2">
        <f t="shared" si="3"/>
        <v>165.22766000000001</v>
      </c>
      <c r="E71" s="41">
        <f t="shared" si="2"/>
        <v>3.1325391220816172E-9</v>
      </c>
    </row>
    <row r="72" spans="2:12" x14ac:dyDescent="0.25">
      <c r="B72" s="10">
        <v>1995</v>
      </c>
      <c r="C72" s="80">
        <f>' Per Cápita 01'!B69</f>
        <v>19.175912</v>
      </c>
      <c r="D72" s="2">
        <f t="shared" si="3"/>
        <v>194.95656</v>
      </c>
      <c r="E72" s="41">
        <f t="shared" si="2"/>
        <v>9.8359921820532747E-9</v>
      </c>
    </row>
    <row r="73" spans="2:12" x14ac:dyDescent="0.25">
      <c r="B73" s="10">
        <v>1996</v>
      </c>
      <c r="C73" s="80">
        <f>' Per Cápita 01'!B70</f>
        <v>18.6128176</v>
      </c>
      <c r="D73" s="2">
        <f t="shared" si="3"/>
        <v>274.80944</v>
      </c>
      <c r="E73" s="41">
        <f t="shared" si="2"/>
        <v>6.7729906221562105E-9</v>
      </c>
    </row>
    <row r="74" spans="2:12" x14ac:dyDescent="0.25">
      <c r="B74" s="10">
        <v>1997</v>
      </c>
      <c r="C74" s="80" t="e">
        <f>' Per Cápita 01'!B71</f>
        <v>#VALUE!</v>
      </c>
      <c r="D74" s="2">
        <f t="shared" si="3"/>
        <v>336.80086</v>
      </c>
      <c r="E74" s="41" t="e">
        <f t="shared" si="2"/>
        <v>#VALUE!</v>
      </c>
    </row>
    <row r="75" spans="2:12" x14ac:dyDescent="0.25">
      <c r="B75" s="10">
        <v>1998</v>
      </c>
      <c r="C75" s="80" t="e">
        <f>' Per Cápita 01'!B72</f>
        <v>#VALUE!</v>
      </c>
      <c r="D75" s="2">
        <f t="shared" si="3"/>
        <v>369.28847999999999</v>
      </c>
      <c r="E75" s="41" t="e">
        <f t="shared" si="2"/>
        <v>#VALUE!</v>
      </c>
    </row>
    <row r="76" spans="2:12" x14ac:dyDescent="0.25">
      <c r="B76" s="10">
        <v>1999</v>
      </c>
      <c r="C76" s="80" t="e">
        <f>' Per Cápita 01'!B73</f>
        <v>#VALUE!</v>
      </c>
      <c r="D76" s="2">
        <f t="shared" si="3"/>
        <v>364.99447999999995</v>
      </c>
      <c r="E76" s="41" t="e">
        <f t="shared" si="2"/>
        <v>#VALUE!</v>
      </c>
    </row>
    <row r="77" spans="2:12" x14ac:dyDescent="0.25">
      <c r="B77" s="10">
        <v>2000</v>
      </c>
      <c r="C77" s="80">
        <f>' Per Cápita 01'!B74</f>
        <v>22.640009572</v>
      </c>
      <c r="D77" s="2">
        <f t="shared" si="3"/>
        <v>347.67599999999999</v>
      </c>
      <c r="E77" s="41">
        <f t="shared" si="2"/>
        <v>6.5118125990865052E-9</v>
      </c>
    </row>
    <row r="78" spans="2:12" x14ac:dyDescent="0.25">
      <c r="B78" s="10">
        <v>2001</v>
      </c>
      <c r="C78" s="80" t="e">
        <f>' Per Cápita 01'!B75</f>
        <v>#VALUE!</v>
      </c>
      <c r="D78" s="2">
        <f t="shared" si="3"/>
        <v>339.14509999999996</v>
      </c>
      <c r="E78" s="41" t="e">
        <f t="shared" si="2"/>
        <v>#VALUE!</v>
      </c>
    </row>
    <row r="79" spans="2:12" x14ac:dyDescent="0.25">
      <c r="B79" s="10">
        <v>2002</v>
      </c>
      <c r="C79" s="80">
        <f>' Per Cápita 01'!B76</f>
        <v>19.855439350000001</v>
      </c>
      <c r="D79" s="2">
        <f t="shared" si="3"/>
        <v>386.16775999999999</v>
      </c>
      <c r="E79" s="41">
        <f t="shared" si="2"/>
        <v>5.1416615799309608E-9</v>
      </c>
    </row>
    <row r="80" spans="2:12" x14ac:dyDescent="0.25">
      <c r="B80" s="10">
        <v>2003</v>
      </c>
      <c r="C80" s="80">
        <f>' Per Cápita 01'!B77</f>
        <v>16.820433568999999</v>
      </c>
      <c r="D80" s="2">
        <f t="shared" si="3"/>
        <v>407.57828000000001</v>
      </c>
      <c r="E80" s="41">
        <f t="shared" si="2"/>
        <v>4.1269209853380797E-9</v>
      </c>
    </row>
    <row r="81" spans="2:5" x14ac:dyDescent="0.25">
      <c r="B81" s="10">
        <v>2004</v>
      </c>
      <c r="C81" s="80">
        <f>' Per Cápita 01'!B78</f>
        <v>9.0791770180000011</v>
      </c>
      <c r="D81" s="2">
        <f t="shared" si="3"/>
        <v>440.83103999999997</v>
      </c>
      <c r="E81" s="41">
        <f t="shared" si="2"/>
        <v>2.0595593763088918E-9</v>
      </c>
    </row>
    <row r="82" spans="2:5" x14ac:dyDescent="0.25">
      <c r="B82" s="10">
        <v>2005</v>
      </c>
      <c r="C82" s="80">
        <f>' Per Cápita 01'!B79</f>
        <v>17.797491511</v>
      </c>
      <c r="D82" s="2">
        <f t="shared" si="3"/>
        <v>510.04738000000003</v>
      </c>
      <c r="E82" s="41">
        <f t="shared" si="2"/>
        <v>3.4893800475947935E-9</v>
      </c>
    </row>
    <row r="83" spans="2:5" x14ac:dyDescent="0.25">
      <c r="B83" s="10">
        <v>2006</v>
      </c>
      <c r="C83" s="80">
        <f>' Per Cápita 01'!B80</f>
        <v>17.431362778</v>
      </c>
      <c r="D83" s="2">
        <f t="shared" si="3"/>
        <v>579.25911999999994</v>
      </c>
      <c r="E83" s="41">
        <f t="shared" si="2"/>
        <v>3.0092513309069697E-9</v>
      </c>
    </row>
    <row r="84" spans="2:5" x14ac:dyDescent="0.25">
      <c r="B84" s="10">
        <v>2007</v>
      </c>
      <c r="C84" s="80">
        <f>' Per Cápita 01'!B81</f>
        <v>22.135063560000003</v>
      </c>
      <c r="D84" s="2">
        <f t="shared" si="3"/>
        <v>631.73307999999997</v>
      </c>
      <c r="E84" s="41">
        <f t="shared" si="2"/>
        <v>3.5038633025201089E-9</v>
      </c>
    </row>
    <row r="85" spans="2:5" x14ac:dyDescent="0.25">
      <c r="B85" s="10">
        <v>2008</v>
      </c>
      <c r="C85" s="80">
        <f>' Per Cápita 01'!B82</f>
        <v>33.683987864999999</v>
      </c>
      <c r="D85" s="2">
        <f t="shared" si="3"/>
        <v>713.98906000000011</v>
      </c>
      <c r="E85" s="41">
        <f t="shared" si="2"/>
        <v>4.7177176447213343E-9</v>
      </c>
    </row>
    <row r="86" spans="2:5" x14ac:dyDescent="0.25">
      <c r="B86" s="10">
        <v>2009</v>
      </c>
      <c r="C86" s="80">
        <f>' Per Cápita 01'!B83</f>
        <v>29.724785110000003</v>
      </c>
      <c r="D86" s="2">
        <f t="shared" si="3"/>
        <v>827.92747999999995</v>
      </c>
      <c r="E86" s="41">
        <f t="shared" si="2"/>
        <v>3.5902643441669561E-9</v>
      </c>
    </row>
    <row r="87" spans="2:5" x14ac:dyDescent="0.25">
      <c r="B87" s="10">
        <v>2010</v>
      </c>
      <c r="C87" s="80">
        <f>' Per Cápita 01'!B84</f>
        <v>40.215627857000001</v>
      </c>
      <c r="D87" s="2">
        <f t="shared" si="3"/>
        <v>953.45824000000005</v>
      </c>
      <c r="E87" s="41">
        <f t="shared" si="2"/>
        <v>4.2178698730423683E-9</v>
      </c>
    </row>
    <row r="88" spans="2:5" x14ac:dyDescent="0.25">
      <c r="B88" s="10">
        <v>2011</v>
      </c>
      <c r="C88" s="80">
        <f>' Per Cápita 01'!B85</f>
        <v>57.537067323000002</v>
      </c>
      <c r="D88" s="2">
        <f t="shared" si="3"/>
        <v>899.81057999999996</v>
      </c>
      <c r="E88" s="41">
        <f t="shared" si="2"/>
        <v>6.3943532785533592E-9</v>
      </c>
    </row>
    <row r="89" spans="2:5" x14ac:dyDescent="0.25">
      <c r="B89" s="10">
        <v>2012</v>
      </c>
      <c r="C89" s="80">
        <f>' Per Cápita 01'!B86</f>
        <v>81.67837918299999</v>
      </c>
      <c r="D89" s="2">
        <f t="shared" si="3"/>
        <v>989.41625999999997</v>
      </c>
      <c r="E89" s="41">
        <f t="shared" si="2"/>
        <v>8.2552089029747703E-9</v>
      </c>
    </row>
    <row r="90" spans="2:5" x14ac:dyDescent="0.25">
      <c r="B90" s="10">
        <v>2013</v>
      </c>
      <c r="C90" s="80">
        <f>' Per Cápita 01'!B87</f>
        <v>143.858102989</v>
      </c>
      <c r="D90" s="2">
        <f t="shared" si="3"/>
        <v>1170.8926799999999</v>
      </c>
      <c r="E90" s="41">
        <f t="shared" si="2"/>
        <v>1.2286190309858287E-8</v>
      </c>
    </row>
    <row r="91" spans="2:5" x14ac:dyDescent="0.25">
      <c r="B91" s="10">
        <v>2014</v>
      </c>
      <c r="C91" s="80">
        <f>' Per Cápita 01'!B88</f>
        <v>217.69988715099998</v>
      </c>
      <c r="D91" s="2">
        <f t="shared" si="3"/>
        <v>1214.6188999999999</v>
      </c>
      <c r="E91" s="41">
        <f t="shared" si="2"/>
        <v>1.7923308055802524E-8</v>
      </c>
    </row>
    <row r="92" spans="2:5" x14ac:dyDescent="0.25">
      <c r="B92" s="11">
        <v>2015</v>
      </c>
      <c r="C92" s="80">
        <f>' Per Cápita 01'!B89</f>
        <v>167.278326045</v>
      </c>
      <c r="D92" s="2">
        <f t="shared" si="3"/>
        <v>1290.6626000000001</v>
      </c>
      <c r="E92" s="41">
        <f t="shared" si="2"/>
        <v>1.2960654941500591E-8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A34" zoomScale="80" zoomScaleNormal="80" workbookViewId="0">
      <selection activeCell="F34" sqref="F34:F58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19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74">
        <f>'Balanza c 01'!B2</f>
        <v>-2.2522630000000001</v>
      </c>
      <c r="C5" s="27">
        <v>881.41649700000005</v>
      </c>
      <c r="D5" s="2">
        <v>1806.394</v>
      </c>
      <c r="E5" s="5">
        <v>218.072048</v>
      </c>
      <c r="F5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-2.5546446102176116E-6</v>
      </c>
      <c r="G5" s="7" t="s">
        <v>96</v>
      </c>
      <c r="L5" s="49" t="s">
        <v>97</v>
      </c>
    </row>
    <row r="6" spans="1:17" x14ac:dyDescent="0.25">
      <c r="A6" s="10">
        <v>1992</v>
      </c>
      <c r="B6" s="74">
        <f>'Balanza c 01'!B3</f>
        <v>-4.5118070000000001</v>
      </c>
      <c r="C6" s="27">
        <v>983.24995899999999</v>
      </c>
      <c r="D6" s="2">
        <v>3152.6379999999999</v>
      </c>
      <c r="E6" s="5">
        <v>433.62799100000001</v>
      </c>
      <c r="F6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-4.5866445874137378E-6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74" t="e">
        <f>'Balanza c 01'!B4</f>
        <v>#VALUE!</v>
      </c>
      <c r="C7" s="27">
        <v>959.41936999999996</v>
      </c>
      <c r="D7" s="2">
        <v>3215.2869999999998</v>
      </c>
      <c r="E7" s="5">
        <v>473.60294699999997</v>
      </c>
      <c r="F7" s="72" t="e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#VALUE!</v>
      </c>
      <c r="G7" s="1"/>
      <c r="M7" s="49"/>
      <c r="N7" s="49"/>
      <c r="O7" s="49"/>
    </row>
    <row r="8" spans="1:17" x14ac:dyDescent="0.25">
      <c r="A8" s="10">
        <v>1994</v>
      </c>
      <c r="B8" s="74">
        <f>'Balanza c 01'!B5</f>
        <v>-5.1587140000000007</v>
      </c>
      <c r="C8" s="27">
        <v>1017.331577</v>
      </c>
      <c r="D8" s="2">
        <v>4474.9809999999998</v>
      </c>
      <c r="E8" s="5">
        <v>632.10264900000004</v>
      </c>
      <c r="F8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-5.0676798230942349E-6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74">
        <f>'Balanza c 01'!B6</f>
        <v>-19.139875999999997</v>
      </c>
      <c r="C9" s="27">
        <v>1038.4779860000001</v>
      </c>
      <c r="D9" s="2">
        <v>3992.277</v>
      </c>
      <c r="E9" s="5">
        <v>792.92823299999998</v>
      </c>
      <c r="F9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-1.8416637796628375E-5</v>
      </c>
      <c r="G9" s="1"/>
    </row>
    <row r="10" spans="1:17" x14ac:dyDescent="0.25">
      <c r="A10" s="10">
        <v>1996</v>
      </c>
      <c r="B10" s="74">
        <f>'Balanza c 01'!B7</f>
        <v>-18.565170000000002</v>
      </c>
      <c r="C10" s="27">
        <v>1068.2126330000001</v>
      </c>
      <c r="D10" s="2">
        <v>5379.8019999999997</v>
      </c>
      <c r="E10" s="5">
        <v>1032.147324</v>
      </c>
      <c r="F10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-1.7362881111633227E-5</v>
      </c>
      <c r="G10" s="1"/>
      <c r="H10" s="49"/>
    </row>
    <row r="11" spans="1:17" x14ac:dyDescent="0.25">
      <c r="A11" s="10">
        <v>1997</v>
      </c>
      <c r="B11" s="74" t="e">
        <f>'Balanza c 01'!B8</f>
        <v>#VALUE!</v>
      </c>
      <c r="C11" s="27">
        <v>1133.477727</v>
      </c>
      <c r="D11" s="2">
        <v>3821.105</v>
      </c>
      <c r="E11" s="5">
        <v>969.76201700000001</v>
      </c>
      <c r="F11" s="72" t="e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#VALUE!</v>
      </c>
      <c r="G11" s="1"/>
    </row>
    <row r="12" spans="1:17" x14ac:dyDescent="0.25">
      <c r="A12" s="10">
        <v>1998</v>
      </c>
      <c r="B12" s="74" t="e">
        <f>'Balanza c 01'!B9</f>
        <v>#VALUE!</v>
      </c>
      <c r="C12" s="27">
        <v>1185.2250309999999</v>
      </c>
      <c r="D12" s="2">
        <v>3538.69</v>
      </c>
      <c r="E12" s="5">
        <v>942.82702099999995</v>
      </c>
      <c r="F12" s="72" t="e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#VALUE!</v>
      </c>
      <c r="G12" s="1"/>
    </row>
    <row r="13" spans="1:17" x14ac:dyDescent="0.25">
      <c r="A13" s="10">
        <v>1999</v>
      </c>
      <c r="B13" s="74" t="e">
        <f>'Balanza c 01'!B10</f>
        <v>#VALUE!</v>
      </c>
      <c r="C13" s="27">
        <v>1221.7329010000001</v>
      </c>
      <c r="D13" s="2">
        <v>3328.6469999999999</v>
      </c>
      <c r="E13" s="5">
        <v>718.368246</v>
      </c>
      <c r="F13" s="72" t="e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#VALUE!</v>
      </c>
      <c r="G13" s="1"/>
    </row>
    <row r="14" spans="1:17" x14ac:dyDescent="0.25">
      <c r="A14" s="10">
        <v>2000</v>
      </c>
      <c r="B14" s="74">
        <f>'Balanza c 01'!B11</f>
        <v>-22.635432999999999</v>
      </c>
      <c r="C14" s="27">
        <v>1182.814787</v>
      </c>
      <c r="D14" s="2">
        <v>2423.2669999999998</v>
      </c>
      <c r="E14" s="5">
        <v>800.71074399999998</v>
      </c>
      <c r="F14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-1.9123974840768546E-5</v>
      </c>
      <c r="G14" s="1"/>
    </row>
    <row r="15" spans="1:17" x14ac:dyDescent="0.25">
      <c r="A15" s="10">
        <v>2001</v>
      </c>
      <c r="B15" s="74" t="e">
        <f>'Balanza c 01'!B12</f>
        <v>#VALUE!</v>
      </c>
      <c r="C15" s="27">
        <v>1144.9792580000001</v>
      </c>
      <c r="D15" s="2">
        <v>3458.69</v>
      </c>
      <c r="E15" s="5">
        <v>806.63776399999995</v>
      </c>
      <c r="F15" s="72" t="e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#VALUE!</v>
      </c>
      <c r="G15" s="1"/>
    </row>
    <row r="16" spans="1:17" x14ac:dyDescent="0.25">
      <c r="A16" s="10">
        <v>2002</v>
      </c>
      <c r="B16" s="74">
        <f>'Balanza c 01'!B13</f>
        <v>-19.757992000000002</v>
      </c>
      <c r="C16" s="27">
        <v>1201.0997769999999</v>
      </c>
      <c r="D16" s="2">
        <v>3495.8850000000002</v>
      </c>
      <c r="E16" s="5">
        <v>914.29077400000006</v>
      </c>
      <c r="F16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-1.6437404960317702E-5</v>
      </c>
      <c r="G16" s="1"/>
    </row>
    <row r="17" spans="1:7" x14ac:dyDescent="0.25">
      <c r="A17" s="10">
        <v>2003</v>
      </c>
      <c r="B17" s="74">
        <f>'Balanza c 01'!B14</f>
        <v>-16.355399999999999</v>
      </c>
      <c r="C17" s="27">
        <v>1198.522637</v>
      </c>
      <c r="D17" s="2">
        <v>4221.4390000000003</v>
      </c>
      <c r="E17" s="5">
        <v>964.07554868999978</v>
      </c>
      <c r="F17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-1.3635332370833656E-5</v>
      </c>
      <c r="G17" s="1"/>
    </row>
    <row r="18" spans="1:7" x14ac:dyDescent="0.25">
      <c r="A18" s="10">
        <v>2004</v>
      </c>
      <c r="B18" s="74">
        <f>'Balanza c 01'!B15</f>
        <v>-8.6477280000000007</v>
      </c>
      <c r="C18" s="27">
        <v>1414.1092617499999</v>
      </c>
      <c r="D18" s="2">
        <v>2268.058</v>
      </c>
      <c r="E18" s="5">
        <v>1096.5766716700007</v>
      </c>
      <c r="F18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-6.1105796522465686E-6</v>
      </c>
      <c r="G18" s="1"/>
    </row>
    <row r="19" spans="1:7" x14ac:dyDescent="0.25">
      <c r="A19" s="10">
        <v>2005</v>
      </c>
      <c r="B19" s="74">
        <f>'Balanza c 01'!B16</f>
        <v>-17.741925000000002</v>
      </c>
      <c r="C19" s="27">
        <v>1724.6291241099998</v>
      </c>
      <c r="D19" s="2">
        <v>3775.5949999999998</v>
      </c>
      <c r="E19" s="5">
        <v>1034.5303382900004</v>
      </c>
      <c r="F19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-1.0281218448488592E-5</v>
      </c>
      <c r="G19" s="1"/>
    </row>
    <row r="20" spans="1:7" x14ac:dyDescent="0.25">
      <c r="A20" s="10">
        <v>2006</v>
      </c>
      <c r="B20" s="74">
        <f>'Balanza c 01'!B17</f>
        <v>-17.29645</v>
      </c>
      <c r="C20" s="27">
        <v>1872.3784980099981</v>
      </c>
      <c r="D20" s="2">
        <v>3769.5279999999998</v>
      </c>
      <c r="E20" s="5">
        <v>1257.3132665799999</v>
      </c>
      <c r="F20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-9.231489863665279E-6</v>
      </c>
      <c r="G20" s="1"/>
    </row>
    <row r="21" spans="1:7" x14ac:dyDescent="0.25">
      <c r="A21" s="10">
        <v>2007</v>
      </c>
      <c r="B21" s="74">
        <f>'Balanza c 01'!B18</f>
        <v>-22.043412</v>
      </c>
      <c r="C21" s="26">
        <v>2122.5042788000019</v>
      </c>
      <c r="D21" s="2">
        <v>4219.6670000000004</v>
      </c>
      <c r="E21" s="5">
        <v>1695.4131790200004</v>
      </c>
      <c r="F21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-1.0377278597316404E-5</v>
      </c>
      <c r="G21" s="1"/>
    </row>
    <row r="22" spans="1:7" x14ac:dyDescent="0.25">
      <c r="A22" s="10">
        <v>2008</v>
      </c>
      <c r="B22" s="74">
        <f>'Balanza c 01'!B19</f>
        <v>-33.397836999999996</v>
      </c>
      <c r="C22" s="26">
        <v>2146.3400352200028</v>
      </c>
      <c r="D22" s="2">
        <v>4908.3850000000002</v>
      </c>
      <c r="E22" s="5">
        <v>2236.8973823599977</v>
      </c>
      <c r="F22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-1.5544166230784406E-5</v>
      </c>
      <c r="G22" s="1"/>
    </row>
    <row r="23" spans="1:7" x14ac:dyDescent="0.25">
      <c r="A23" s="10">
        <v>2009</v>
      </c>
      <c r="B23" s="74">
        <f>'Balanza c 01'!B20</f>
        <v>-29.351302</v>
      </c>
      <c r="C23" s="26">
        <v>2095.9589286500013</v>
      </c>
      <c r="D23" s="2">
        <v>4795.9279999999999</v>
      </c>
      <c r="E23" s="5">
        <v>1750.4526144300014</v>
      </c>
      <c r="F23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-1.3992072620806981E-5</v>
      </c>
      <c r="G23" s="1"/>
    </row>
    <row r="24" spans="1:7" x14ac:dyDescent="0.25">
      <c r="A24" s="10">
        <v>2010</v>
      </c>
      <c r="B24" s="74">
        <f>'Balanza c 01'!B21</f>
        <v>-39.385942</v>
      </c>
      <c r="C24" s="26">
        <v>2166.04730251</v>
      </c>
      <c r="D24" s="2">
        <v>912.50599999999997</v>
      </c>
      <c r="E24" s="5">
        <v>2018.9772672800029</v>
      </c>
      <c r="F24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-1.8166392036707481E-5</v>
      </c>
      <c r="G24" s="1"/>
    </row>
    <row r="25" spans="1:7" x14ac:dyDescent="0.25">
      <c r="A25" s="10">
        <v>2011</v>
      </c>
      <c r="B25" s="74">
        <f>'Balanza c 01'!B22</f>
        <v>-55.587797000000002</v>
      </c>
      <c r="C25" s="26">
        <v>2284.3647235700028</v>
      </c>
      <c r="D25" s="2">
        <v>1611.5440000000001</v>
      </c>
      <c r="E25" s="5">
        <v>2563.9037290099977</v>
      </c>
      <c r="F25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-2.4306747633682045E-5</v>
      </c>
      <c r="G25" s="1"/>
    </row>
    <row r="26" spans="1:7" x14ac:dyDescent="0.25">
      <c r="A26" s="10">
        <v>2012</v>
      </c>
      <c r="B26" s="74">
        <f>'Balanza c 01'!B23</f>
        <v>-78.714234999999988</v>
      </c>
      <c r="C26" s="26">
        <v>2636.1765412600002</v>
      </c>
      <c r="D26" s="2">
        <v>1734.827</v>
      </c>
      <c r="E26" s="5">
        <v>2705.0876101299973</v>
      </c>
      <c r="F26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-2.9828634274021027E-5</v>
      </c>
      <c r="G26" s="1"/>
    </row>
    <row r="27" spans="1:7" x14ac:dyDescent="0.25">
      <c r="A27" s="10">
        <v>2013</v>
      </c>
      <c r="B27" s="74">
        <f>'Balanza c 01'!B24</f>
        <v>-141.33759599999999</v>
      </c>
      <c r="C27" s="26">
        <v>2651.0931387399996</v>
      </c>
      <c r="D27" s="2">
        <v>1652.723</v>
      </c>
      <c r="E27" s="5">
        <v>2581.5323848800022</v>
      </c>
      <c r="F27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-5.3261086424014311E-5</v>
      </c>
      <c r="G27" s="1"/>
    </row>
    <row r="28" spans="1:7" x14ac:dyDescent="0.25">
      <c r="A28" s="10">
        <v>2014</v>
      </c>
      <c r="B28" s="74">
        <f>'Balanza c 01'!B25</f>
        <v>-214.53056999999998</v>
      </c>
      <c r="C28" s="26">
        <v>2568.3085408999968</v>
      </c>
      <c r="D28" s="2">
        <v>1246.8779999999999</v>
      </c>
      <c r="E28" s="5">
        <v>2532.8550979199972</v>
      </c>
      <c r="F28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-8.344760992800421E-5</v>
      </c>
      <c r="G28" s="1"/>
    </row>
    <row r="29" spans="1:7" x14ac:dyDescent="0.25">
      <c r="A29" s="11">
        <v>2015</v>
      </c>
      <c r="B29" s="74">
        <f>'Balanza c 01'!B26</f>
        <v>-166.07507899999999</v>
      </c>
      <c r="C29" s="3">
        <v>2443.4283642899991</v>
      </c>
      <c r="D29" s="2">
        <v>520.46799999999996</v>
      </c>
      <c r="E29" s="5">
        <v>2376.0279714999997</v>
      </c>
      <c r="F29" s="72">
        <f>(Tabla191011133145[[#This Row],[Total Balanza Comercial de Colombia (US$ millones)]]/1000)/(Tabla191011133145[[#This Row],[Total exportaciones de Colombia hacia el mundo
  (US$ millones FOB)]]+Tabla191011133145[[#This Row],[Total Importaciones Colombia (US$millones CIF)]]/1000)</f>
        <v>-6.7902028275629845E-5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153</v>
      </c>
      <c r="C33" s="29" t="s">
        <v>121</v>
      </c>
      <c r="D33" s="29" t="s">
        <v>159</v>
      </c>
      <c r="E33" s="29" t="s">
        <v>160</v>
      </c>
      <c r="F33" s="29" t="s">
        <v>23</v>
      </c>
      <c r="G33" s="30" t="s">
        <v>24</v>
      </c>
    </row>
    <row r="34" spans="1:17" x14ac:dyDescent="0.25">
      <c r="A34" s="31">
        <v>1991</v>
      </c>
      <c r="B34" s="73">
        <f>'Participación Mundial 01'!C6</f>
        <v>4819</v>
      </c>
      <c r="C34" s="26">
        <v>2823.8</v>
      </c>
      <c r="D34" s="27">
        <v>41.599048000000003</v>
      </c>
      <c r="E34" s="27">
        <v>7.2686346239999997</v>
      </c>
      <c r="F34" s="32">
        <f>((Tabla19101113143246[[#This Row],[Total exportaciones del grupo
 a USA (US$)]]/1000)/(Tabla19101113143246[[#This Row],[Total exportaciones
 a USA (US$ miles)]])/((D34/10000)/E34))</f>
        <v>2.9818956336299376</v>
      </c>
      <c r="G34" s="2" t="str">
        <f>IF(Tabla19101113143246[[#This Row],[Indice de Balassa]]&gt;0.33,"VENTAJA","NO VENTAJA")</f>
        <v>VENTAJA</v>
      </c>
    </row>
    <row r="35" spans="1:17" x14ac:dyDescent="0.25">
      <c r="A35" s="31">
        <v>1992</v>
      </c>
      <c r="B35" s="73">
        <f>'Participación Mundial 01'!C7</f>
        <v>90909</v>
      </c>
      <c r="C35" s="26">
        <v>2722.5</v>
      </c>
      <c r="D35" s="27">
        <v>14.952287999999999</v>
      </c>
      <c r="E35" s="27">
        <v>6.9160427520000001</v>
      </c>
      <c r="F35" s="32">
        <f>((Tabla19101113143246[[#This Row],[Total exportaciones del grupo
 a USA (US$)]]/1000)/(Tabla19101113143246[[#This Row],[Total exportaciones
 a USA (US$ miles)]])/((D35/10000)/E35))</f>
        <v>154.45038949135028</v>
      </c>
      <c r="G35" s="2" t="str">
        <f>IF(Tabla19101113143246[[#This Row],[Indice de Balassa]]&gt;0.33,"VENTAJA","NO VENTAJA")</f>
        <v>VENTAJA</v>
      </c>
    </row>
    <row r="36" spans="1:17" x14ac:dyDescent="0.25">
      <c r="A36" s="31">
        <v>1993</v>
      </c>
      <c r="B36" s="73" t="str">
        <f>'Participación Mundial 01'!C8</f>
        <v>nd</v>
      </c>
      <c r="C36" s="26">
        <v>2850.21</v>
      </c>
      <c r="D36" s="27">
        <v>5.1169039999999999</v>
      </c>
      <c r="E36" s="27">
        <v>7.1234385920000003</v>
      </c>
      <c r="F36" s="32" t="e">
        <f>((Tabla19101113143246[[#This Row],[Total exportaciones del grupo
 a USA (US$)]]/1000)/(Tabla19101113143246[[#This Row],[Total exportaciones
 a USA (US$ miles)]])/((D36/10000)/E36))</f>
        <v>#VALUE!</v>
      </c>
      <c r="G36" s="2" t="e">
        <f>IF(Tabla19101113143246[[#This Row],[Indice de Balassa]]&gt;0.33,"VENTAJA","NO VENTAJA")</f>
        <v>#VALUE!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f>'Participación Mundial 01'!C9</f>
        <v>17090</v>
      </c>
      <c r="C37" s="26">
        <v>3164.92</v>
      </c>
      <c r="D37" s="27">
        <v>4.2673569999999996</v>
      </c>
      <c r="E37" s="27">
        <v>8.5375165440000007</v>
      </c>
      <c r="F37" s="32">
        <f>((Tabla19101113143246[[#This Row],[Total exportaciones del grupo
 a USA (US$)]]/1000)/(Tabla19101113143246[[#This Row],[Total exportaciones
 a USA (US$ miles)]])/((D37/10000)/E37))</f>
        <v>108.03187343267797</v>
      </c>
      <c r="G37" s="2" t="str">
        <f>IF(Tabla19101113143246[[#This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>
        <f>'Participación Mundial 01'!C10</f>
        <v>36000</v>
      </c>
      <c r="C38" s="26">
        <v>3627.72</v>
      </c>
      <c r="D38" s="27">
        <v>7.5287920000000002</v>
      </c>
      <c r="E38" s="27">
        <v>10.201048064</v>
      </c>
      <c r="F38" s="32">
        <f>((Tabla19101113143246[[#This Row],[Total exportaciones del grupo
 a USA (US$)]]/1000)/(Tabla19101113143246[[#This Row],[Total exportaciones
 a USA (US$ miles)]])/((D38/10000)/E38))</f>
        <v>134.45849204650114</v>
      </c>
      <c r="G38" s="2" t="str">
        <f>IF(Tabla19101113143246[[#This Row],[Indice de Balassa]]&gt;0.33,"VENTAJA","NO VENTAJA")</f>
        <v>VENTAJA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f>'Participación Mundial 01'!C11</f>
        <v>47600</v>
      </c>
      <c r="C39" s="26">
        <v>4282.93</v>
      </c>
      <c r="D39" s="27">
        <v>5.4594310000000004</v>
      </c>
      <c r="E39" s="27">
        <v>10.647555071999999</v>
      </c>
      <c r="F39" s="32">
        <f>((Tabla19101113143246[[#This Row],[Total exportaciones del grupo
 a USA (US$)]]/1000)/(Tabla19101113143246[[#This Row],[Total exportaciones
 a USA (US$ miles)]])/((D39/10000)/E39))</f>
        <v>216.7546833633256</v>
      </c>
      <c r="G39" s="2" t="str">
        <f>IF(Tabla19101113143246[[#This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 t="str">
        <f>'Participación Mundial 01'!C12</f>
        <v>nd</v>
      </c>
      <c r="C40" s="26">
        <v>4379.28</v>
      </c>
      <c r="D40" s="27">
        <v>3.66954</v>
      </c>
      <c r="E40" s="27">
        <v>11.549019136</v>
      </c>
      <c r="F40" s="32" t="e">
        <f>((Tabla19101113143246[[#This Row],[Total exportaciones del grupo
 a USA (US$)]]/1000)/(Tabla19101113143246[[#This Row],[Total exportaciones
 a USA (US$ miles)]])/((D40/10000)/E40))</f>
        <v>#VALUE!</v>
      </c>
      <c r="G40" s="2" t="e">
        <f>IF(Tabla19101113143246[[#This Row],[Indice de Balassa]]&gt;0.33,"VENTAJA","NO VENTAJA")</f>
        <v>#VALUE!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 t="str">
        <f>'Participación Mundial 01'!C13</f>
        <v>nd</v>
      </c>
      <c r="C41" s="26">
        <v>4139.68</v>
      </c>
      <c r="D41" s="27">
        <v>8.5987019999999994</v>
      </c>
      <c r="E41" s="27">
        <v>10.8212224</v>
      </c>
      <c r="F41" s="32" t="e">
        <f>((Tabla19101113143246[[#This Row],[Total exportaciones del grupo
 a USA (US$)]]/1000)/(Tabla19101113143246[[#This Row],[Total exportaciones
 a USA (US$ miles)]])/((D41/10000)/E41))</f>
        <v>#VALUE!</v>
      </c>
      <c r="G41" s="2" t="e">
        <f>IF(Tabla19101113143246[[#This Row],[Indice de Balassa]]&gt;0.33,"VENTAJA","NO VENTAJA")</f>
        <v>#VALUE!</v>
      </c>
      <c r="M41" t="s">
        <v>101</v>
      </c>
    </row>
    <row r="42" spans="1:17" x14ac:dyDescent="0.25">
      <c r="A42" s="31">
        <v>1999</v>
      </c>
      <c r="B42" s="73" t="str">
        <f>'Participación Mundial 01'!C14</f>
        <v>nd</v>
      </c>
      <c r="C42" s="26">
        <v>5817.43</v>
      </c>
      <c r="D42" s="27">
        <v>4.0504040000000003</v>
      </c>
      <c r="E42" s="27">
        <v>11.617030143999999</v>
      </c>
      <c r="F42" s="32" t="e">
        <f>((Tabla19101113143246[[#This Row],[Total exportaciones del grupo
 a USA (US$)]]/1000)/(Tabla19101113143246[[#This Row],[Total exportaciones
 a USA (US$ miles)]])/((D42/10000)/E42))</f>
        <v>#VALUE!</v>
      </c>
      <c r="G42" s="2" t="e">
        <f>IF(Tabla19101113143246[[#This Row],[Indice de Balassa]]&gt;0.33,"VENTAJA","NO VENTAJA")</f>
        <v>#VALUE!</v>
      </c>
    </row>
    <row r="43" spans="1:17" x14ac:dyDescent="0.25">
      <c r="A43" s="31">
        <v>2000</v>
      </c>
      <c r="B43" s="73">
        <f>'Participación Mundial 01'!C15</f>
        <v>4572</v>
      </c>
      <c r="C43" s="26">
        <v>6632.13</v>
      </c>
      <c r="D43" s="27">
        <v>4.0849510000000002</v>
      </c>
      <c r="E43" s="27">
        <v>13.158400846999999</v>
      </c>
      <c r="F43" s="32">
        <f>((Tabla19101113143246[[#This Row],[Total exportaciones del grupo
 a USA (US$)]]/1000)/(Tabla19101113143246[[#This Row],[Total exportaciones
 a USA (US$ miles)]])/((D43/10000)/E43))</f>
        <v>22.205954831170125</v>
      </c>
      <c r="G43" s="2" t="str">
        <f>IF(Tabla19101113143246[[#This Row],[Indice de Balassa]]&gt;0.33,"VENTAJA","NO VENTAJA")</f>
        <v>VENTAJA</v>
      </c>
    </row>
    <row r="44" spans="1:17" x14ac:dyDescent="0.25">
      <c r="A44" s="31">
        <v>2001</v>
      </c>
      <c r="B44" s="73" t="str">
        <f>'Participación Mundial 01'!C16</f>
        <v>nd</v>
      </c>
      <c r="C44" s="26">
        <v>5344.53</v>
      </c>
      <c r="D44" s="27">
        <v>17.665773000000002</v>
      </c>
      <c r="E44" s="27">
        <v>12.301486486</v>
      </c>
      <c r="F44" s="32" t="e">
        <f>((Tabla19101113143246[[#This Row],[Total exportaciones del grupo
 a USA (US$)]]/1000)/(Tabla19101113143246[[#This Row],[Total exportaciones
 a USA (US$ miles)]])/((D44/10000)/E44))</f>
        <v>#VALUE!</v>
      </c>
      <c r="G44" s="2" t="e">
        <f>IF(Tabla19101113143246[[#This Row],[Indice de Balassa]]&gt;0.33,"VENTAJA","NO VENTAJA")</f>
        <v>#VALUE!</v>
      </c>
    </row>
    <row r="45" spans="1:17" x14ac:dyDescent="0.25">
      <c r="A45" s="31">
        <v>2002</v>
      </c>
      <c r="B45" s="73">
        <f>'Participación Mundial 01'!C17</f>
        <v>97350</v>
      </c>
      <c r="C45" s="26">
        <v>5328.47</v>
      </c>
      <c r="D45" s="27">
        <v>5.844055</v>
      </c>
      <c r="E45" s="27">
        <v>11.897488381000001</v>
      </c>
      <c r="F45" s="32">
        <f>((Tabla19101113143246[[#This Row],[Total exportaciones del grupo
 a USA (US$)]]/1000)/(Tabla19101113143246[[#This Row],[Total exportaciones
 a USA (US$ miles)]])/((D45/10000)/E45))</f>
        <v>371.941317980767</v>
      </c>
      <c r="G45" s="2" t="str">
        <f>IF(Tabla19101113143246[[#This Row],[Indice de Balassa]]&gt;0.33,"VENTAJA","NO VENTAJA")</f>
        <v>VENTAJA</v>
      </c>
    </row>
    <row r="46" spans="1:17" x14ac:dyDescent="0.25">
      <c r="A46" s="31">
        <v>2003</v>
      </c>
      <c r="B46" s="73">
        <f>'Participación Mundial 01'!C18</f>
        <v>464569</v>
      </c>
      <c r="C46" s="26">
        <v>6160.2</v>
      </c>
      <c r="D46" s="27">
        <v>6.5520639999999997</v>
      </c>
      <c r="E46" s="27">
        <v>13.092218068999999</v>
      </c>
      <c r="F46" s="32">
        <f>((Tabla19101113143246[[#This Row],[Total exportaciones del grupo
 a USA (US$)]]/1000)/(Tabla19101113143246[[#This Row],[Total exportaciones
 a USA (US$ miles)]])/((D46/10000)/E46))</f>
        <v>1506.921099329769</v>
      </c>
      <c r="G46" s="2" t="str">
        <f>IF(Tabla19101113143246[[#This Row],[Indice de Balassa]]&gt;0.33,"VENTAJA","NO VENTAJA")</f>
        <v>VENTAJA</v>
      </c>
    </row>
    <row r="47" spans="1:17" x14ac:dyDescent="0.25">
      <c r="A47" s="31">
        <v>2004</v>
      </c>
      <c r="B47" s="73">
        <f>'Participación Mundial 01'!C19</f>
        <v>431018</v>
      </c>
      <c r="C47" s="26">
        <v>7042.2</v>
      </c>
      <c r="D47" s="27">
        <v>31.078638999999999</v>
      </c>
      <c r="E47" s="27">
        <v>16.729677706</v>
      </c>
      <c r="F47" s="32">
        <f>((Tabla19101113143246[[#This Row],[Total exportaciones del grupo
 a USA (US$)]]/1000)/(Tabla19101113143246[[#This Row],[Total exportaciones
 a USA (US$ miles)]])/((D47/10000)/E47))</f>
        <v>329.46754134405342</v>
      </c>
      <c r="G47" s="2" t="str">
        <f>IF(Tabla19101113143246[[#This Row],[Indice de Balassa]]&gt;0.33,"VENTAJA","NO VENTAJA")</f>
        <v>VENTAJA</v>
      </c>
    </row>
    <row r="48" spans="1:17" x14ac:dyDescent="0.25">
      <c r="A48" s="31">
        <v>2005</v>
      </c>
      <c r="B48" s="73">
        <f>'Participación Mundial 01'!C20</f>
        <v>55511</v>
      </c>
      <c r="C48" s="26">
        <v>8851.6299999999992</v>
      </c>
      <c r="D48" s="27">
        <v>27.250457000000001</v>
      </c>
      <c r="E48" s="27">
        <v>21.190438735000001</v>
      </c>
      <c r="F48" s="32">
        <f>((Tabla19101113143246[[#This Row],[Total exportaciones del grupo
 a USA (US$)]]/1000)/(Tabla19101113143246[[#This Row],[Total exportaciones
 a USA (US$ miles)]])/((D48/10000)/E48))</f>
        <v>48.766541598128093</v>
      </c>
      <c r="G48" s="2" t="str">
        <f>IF(Tabla19101113143246[[#This Row],[Indice de Balassa]]&gt;0.33,"VENTAJA","NO VENTAJA")</f>
        <v>VENTAJA</v>
      </c>
    </row>
    <row r="49" spans="1:25" x14ac:dyDescent="0.25">
      <c r="A49" s="31">
        <v>2006</v>
      </c>
      <c r="B49" s="73">
        <f>'Participación Mundial 01'!C21</f>
        <v>134778</v>
      </c>
      <c r="C49" s="26">
        <v>9948.23</v>
      </c>
      <c r="D49" s="27">
        <v>76.687258999999997</v>
      </c>
      <c r="E49" s="27">
        <v>24.390975102999999</v>
      </c>
      <c r="F49" s="32">
        <f>((Tabla19101113143246[[#This Row],[Total exportaciones del grupo
 a USA (US$)]]/1000)/(Tabla19101113143246[[#This Row],[Total exportaciones
 a USA (US$ miles)]])/((D49/10000)/E49))</f>
        <v>43.090262293415158</v>
      </c>
      <c r="G49" s="2" t="str">
        <f>IF(Tabla19101113143246[[#This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f>'Participación Mundial 01'!C22</f>
        <v>91560</v>
      </c>
      <c r="C50" s="26">
        <v>10609.17</v>
      </c>
      <c r="D50" s="26">
        <v>341.16243500000002</v>
      </c>
      <c r="E50" s="26">
        <v>29.991332</v>
      </c>
      <c r="F50" s="32">
        <f>((Tabla19101113143246[[#This Row],[Total exportaciones del grupo
 a USA (US$)]]/1000)/(Tabla19101113143246[[#This Row],[Total exportaciones
 a USA (US$ miles)]])/((D50/10000)/E50))</f>
        <v>7.5868050468302082</v>
      </c>
      <c r="G50" s="2" t="str">
        <f>IF(Tabla19101113143246[[#This Row],[Indice de Balassa]]&gt;0.33,"VENTAJA","NO VENTAJA")</f>
        <v>VENTAJA</v>
      </c>
    </row>
    <row r="51" spans="1:25" x14ac:dyDescent="0.25">
      <c r="A51" s="31">
        <v>2008</v>
      </c>
      <c r="B51" s="73">
        <f>'Participación Mundial 01'!C23</f>
        <v>285865</v>
      </c>
      <c r="C51" s="26">
        <v>14288.83</v>
      </c>
      <c r="D51" s="26">
        <v>764.17158600000005</v>
      </c>
      <c r="E51" s="26">
        <v>37.625882064999999</v>
      </c>
      <c r="F51" s="32">
        <f>((Tabla19101113143246[[#This Row],[Total exportaciones del grupo
 a USA (US$)]]/1000)/(Tabla19101113143246[[#This Row],[Total exportaciones
 a USA (US$ miles)]])/((D51/10000)/E51))</f>
        <v>9.8505418584000459</v>
      </c>
      <c r="G51" s="2" t="str">
        <f>IF(Tabla19101113143246[[#This Row],[Indice de Balassa]]&gt;0.33,"VENTAJA","NO VENTAJA")</f>
        <v>VENTAJA</v>
      </c>
    </row>
    <row r="52" spans="1:25" x14ac:dyDescent="0.25">
      <c r="A52" s="31">
        <v>2009</v>
      </c>
      <c r="B52" s="73">
        <f>'Participación Mundial 01'!C24</f>
        <v>373110</v>
      </c>
      <c r="C52" s="26">
        <v>13123.47</v>
      </c>
      <c r="D52" s="26">
        <v>597.40195100000005</v>
      </c>
      <c r="E52" s="26">
        <v>32.852985836999999</v>
      </c>
      <c r="F52" s="32">
        <f>((Tabla19101113143246[[#This Row],[Total exportaciones del grupo
 a USA (US$)]]/1000)/(Tabla19101113143246[[#This Row],[Total exportaciones
 a USA (US$ miles)]])/((D52/10000)/E52))</f>
        <v>15.634947097942751</v>
      </c>
      <c r="G52" s="2" t="str">
        <f>IF(Tabla19101113143246[[#This Row],[Indice de Balassa]]&gt;0.33,"VENTAJA","NO VENTAJA")</f>
        <v>VENTAJA</v>
      </c>
    </row>
    <row r="53" spans="1:25" x14ac:dyDescent="0.25">
      <c r="A53" s="31">
        <v>2010</v>
      </c>
      <c r="B53" s="73">
        <f>'Participación Mundial 01'!C25</f>
        <v>828857</v>
      </c>
      <c r="C53" s="26">
        <v>17143.28</v>
      </c>
      <c r="D53" s="26">
        <v>14.815258</v>
      </c>
      <c r="E53" s="26">
        <v>39.819528642000002</v>
      </c>
      <c r="F53" s="32">
        <f>((Tabla19101113143246[[#This Row],[Total exportaciones del grupo
 a USA (US$)]]/1000)/(Tabla19101113143246[[#This Row],[Total exportaciones
 a USA (US$ miles)]])/((D53/10000)/E53))</f>
        <v>1299.4889384266526</v>
      </c>
      <c r="G53" s="2" t="str">
        <f>IF(Tabla19101113143246[[#This Row],[Indice de Balassa]]&gt;0.33,"VENTAJA","NO VENTAJA")</f>
        <v>VENTAJA</v>
      </c>
    </row>
    <row r="54" spans="1:25" x14ac:dyDescent="0.25">
      <c r="A54" s="31">
        <v>2011</v>
      </c>
      <c r="B54" s="73">
        <f>'Participación Mundial 01'!C26</f>
        <v>1947323</v>
      </c>
      <c r="C54" s="26">
        <v>21948.53</v>
      </c>
      <c r="D54" s="26">
        <v>30.035838999999999</v>
      </c>
      <c r="E54" s="26">
        <v>56.953516086</v>
      </c>
      <c r="F54" s="32">
        <f>((Tabla19101113143246[[#This Row],[Total exportaciones del grupo
 a USA (US$)]]/1000)/(Tabla19101113143246[[#This Row],[Total exportaciones
 a USA (US$ miles)]])/((D54/10000)/E54))</f>
        <v>1682.3382830508003</v>
      </c>
      <c r="G54" s="2" t="str">
        <f>IF(Tabla19101113143246[[#This Row],[Indice de Balassa]]&gt;0.33,"VENTAJA","NO VENTAJA")</f>
        <v>VENTAJA</v>
      </c>
    </row>
    <row r="55" spans="1:25" x14ac:dyDescent="0.25">
      <c r="A55" s="31">
        <v>2012</v>
      </c>
      <c r="B55" s="73">
        <f>'Participación Mundial 01'!C27</f>
        <v>2961183</v>
      </c>
      <c r="C55" s="26">
        <v>22216.240000000002</v>
      </c>
      <c r="D55" s="26">
        <v>48.424100000000003</v>
      </c>
      <c r="E55" s="26">
        <v>60.273618167999999</v>
      </c>
      <c r="F55" s="32">
        <f>((Tabla19101113143246[[#This Row],[Total exportaciones del grupo
 a USA (US$)]]/1000)/(Tabla19101113143246[[#This Row],[Total exportaciones
 a USA (US$ miles)]])/((D55/10000)/E55))</f>
        <v>1659.0535104752662</v>
      </c>
      <c r="G55" s="2" t="str">
        <f>IF(Tabla19101113143246[[#This Row],[Indice de Balassa]]&gt;0.33,"VENTAJA","NO VENTAJA")</f>
        <v>VENTAJA</v>
      </c>
    </row>
    <row r="56" spans="1:25" x14ac:dyDescent="0.25">
      <c r="A56" s="31">
        <v>2013</v>
      </c>
      <c r="B56" s="73">
        <f>'Participación Mundial 01'!C28</f>
        <v>2517989</v>
      </c>
      <c r="C56" s="26">
        <v>18692.900000000001</v>
      </c>
      <c r="D56" s="26">
        <v>207.316867</v>
      </c>
      <c r="E56" s="26">
        <v>58.821869986999999</v>
      </c>
      <c r="F56" s="32">
        <f>((Tabla19101113143246[[#This Row],[Total exportaciones del grupo
 a USA (US$)]]/1000)/(Tabla19101113143246[[#This Row],[Total exportaciones
 a USA (US$ miles)]])/((D56/10000)/E56))</f>
        <v>382.19177423502316</v>
      </c>
      <c r="G56" s="2" t="str">
        <f>IF(Tabla19101113143246[[#This Row],[Indice de Balassa]]&gt;0.33,"VENTAJA","NO VENTAJA")</f>
        <v>VENTAJA</v>
      </c>
    </row>
    <row r="57" spans="1:25" x14ac:dyDescent="0.25">
      <c r="A57" s="31">
        <v>2014</v>
      </c>
      <c r="B57" s="73">
        <f>'Participación Mundial 01'!C29</f>
        <v>3166151</v>
      </c>
      <c r="C57" s="26">
        <v>14470.7</v>
      </c>
      <c r="D57" s="26">
        <v>50.175809000000001</v>
      </c>
      <c r="E57" s="26">
        <v>54.794812014999998</v>
      </c>
      <c r="F57" s="32">
        <f>((Tabla19101113143246[[#This Row],[Total exportaciones del grupo
 a USA (US$)]]/1000)/(Tabla19101113143246[[#This Row],[Total exportaciones
 a USA (US$ miles)]])/((D57/10000)/E57))</f>
        <v>2389.3905471597618</v>
      </c>
      <c r="G57" s="2" t="str">
        <f>IF(Tabla19101113143246[[#This Row],[Indice de Balassa]]&gt;0.33,"VENTAJA","NO VENTAJA")</f>
        <v>VENTAJA</v>
      </c>
    </row>
    <row r="58" spans="1:25" x14ac:dyDescent="0.25">
      <c r="A58" s="31">
        <v>2015</v>
      </c>
      <c r="B58" s="73">
        <f>'Participación Mundial 01'!C30</f>
        <v>1202045</v>
      </c>
      <c r="C58" s="3">
        <v>14074</v>
      </c>
      <c r="D58" s="3">
        <v>37.102837000000001</v>
      </c>
      <c r="E58" s="3">
        <v>35.690766592999999</v>
      </c>
      <c r="F58" s="32">
        <f>((Tabla19101113143246[[#This Row],[Total exportaciones del grupo
 a USA (US$)]]/1000)/(Tabla19101113143246[[#This Row],[Total exportaciones
 a USA (US$ miles)]])/((D58/10000)/E58))</f>
        <v>821.58393263735104</v>
      </c>
      <c r="G58" s="2" t="str">
        <f>IF(Tabla19101113143246[[#This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30" t="s">
        <v>24</v>
      </c>
    </row>
    <row r="63" spans="1:25" x14ac:dyDescent="0.25">
      <c r="A63" s="31">
        <v>1991</v>
      </c>
      <c r="B63" s="73">
        <f>'Balanza c 01'!B2</f>
        <v>-2.2522630000000001</v>
      </c>
      <c r="C63" s="84">
        <f>'Apertura 01'!B184</f>
        <v>2.257086819</v>
      </c>
      <c r="D63" s="32">
        <f>1-(Tabla1910111314123347[[#This Row],[Balanza Comercial Colombia 
( US$ millones)]]/Tabla1910111314123347[[#This Row],[Balanza Comercial Absoluta Colombia 
(US$ millones)]])</f>
        <v>1.9978628119399779</v>
      </c>
      <c r="E63" s="2" t="str">
        <f t="shared" ref="E63:E87" si="0">IF(D63&gt;0.1&lt;0.33,"POTENCIAL CMRCIO INT",IF(D63&gt;0.33,"INDICIOS DE CMRCIO INT",IF(D63&lt;0.1,"REL. INTERINDUSTRIALES")))</f>
        <v>INDICIOS DE CMRCIO INT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>
        <f>'Balanza c 01'!B3</f>
        <v>-4.5118070000000001</v>
      </c>
      <c r="C64" s="84">
        <f>'Apertura 01'!B185</f>
        <v>4.6028069089999999</v>
      </c>
      <c r="D64" s="32">
        <f>1-(Tabla1910111314123347[[#This Row],[Balanza Comercial Colombia 
( US$ millones)]]/Tabla1910111314123347[[#This Row],[Balanza Comercial Absoluta Colombia 
(US$ millones)]])</f>
        <v>1.9802294750140257</v>
      </c>
      <c r="E64" s="2" t="str">
        <f t="shared" si="0"/>
        <v>INDICIOS DE CMRCIO INT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 t="e">
        <f>'Balanza c 01'!B4</f>
        <v>#VALUE!</v>
      </c>
      <c r="C65" s="84" t="e">
        <f>'Apertura 01'!B186</f>
        <v>#VALUE!</v>
      </c>
      <c r="D65" s="32" t="e">
        <f>1-(Tabla1910111314123347[[#This Row],[Balanza Comercial Colombia 
( US$ millones)]]/Tabla1910111314123347[[#This Row],[Balanza Comercial Absoluta Colombia 
(US$ millones)]])</f>
        <v>#VALUE!</v>
      </c>
      <c r="E65" s="2" t="e">
        <f t="shared" si="0"/>
        <v>#VALUE!</v>
      </c>
      <c r="K65" s="49"/>
      <c r="M65" s="49"/>
      <c r="O65" s="49"/>
    </row>
    <row r="66" spans="1:15" x14ac:dyDescent="0.25">
      <c r="A66" s="31">
        <v>1994</v>
      </c>
      <c r="B66" s="73">
        <f>'Balanza c 01'!B5</f>
        <v>-5.1587140000000007</v>
      </c>
      <c r="C66" s="84">
        <f>'Apertura 01'!B187</f>
        <v>5.1758210900000003</v>
      </c>
      <c r="D66" s="32">
        <f>1-(Tabla1910111314123347[[#This Row],[Balanza Comercial Colombia 
( US$ millones)]]/Tabla1910111314123347[[#This Row],[Balanza Comercial Absoluta Colombia 
(US$ millones)]])</f>
        <v>1.9966948065432457</v>
      </c>
      <c r="E66" s="2" t="str">
        <f t="shared" si="0"/>
        <v>INDICIOS DE CMRCIO INT</v>
      </c>
      <c r="K66" s="49"/>
      <c r="M66" s="52" t="s">
        <v>136</v>
      </c>
      <c r="O66" s="49"/>
    </row>
    <row r="67" spans="1:15" x14ac:dyDescent="0.25">
      <c r="A67" s="31">
        <v>1995</v>
      </c>
      <c r="B67" s="73">
        <f>'Balanza c 01'!B6</f>
        <v>-19.139875999999997</v>
      </c>
      <c r="C67" s="84">
        <f>'Apertura 01'!B188</f>
        <v>19.175912</v>
      </c>
      <c r="D67" s="32">
        <f>1-(Tabla1910111314123347[[#This Row],[Balanza Comercial Colombia 
( US$ millones)]]/Tabla1910111314123347[[#This Row],[Balanza Comercial Absoluta Colombia 
(US$ millones)]])</f>
        <v>1.9981207673460326</v>
      </c>
      <c r="E67" s="2" t="str">
        <f t="shared" si="0"/>
        <v>INDICIOS DE CMRCIO INT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01'!B7</f>
        <v>-18.565170000000002</v>
      </c>
      <c r="C68" s="84">
        <f>'Apertura 01'!B189</f>
        <v>18.6128176</v>
      </c>
      <c r="D68" s="32">
        <f>1-(Tabla1910111314123347[[#This Row],[Balanza Comercial Colombia 
( US$ millones)]]/Tabla1910111314123347[[#This Row],[Balanza Comercial Absoluta Colombia 
(US$ millones)]])</f>
        <v>1.9974400651731528</v>
      </c>
      <c r="E68" s="2" t="str">
        <f t="shared" si="0"/>
        <v>INDICIOS DE CMRCIO INT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 t="e">
        <f>'Balanza c 01'!B8</f>
        <v>#VALUE!</v>
      </c>
      <c r="C69" s="84" t="e">
        <f>'Apertura 01'!B190</f>
        <v>#VALUE!</v>
      </c>
      <c r="D69" s="32" t="e">
        <f>1-(Tabla1910111314123347[[#This Row],[Balanza Comercial Colombia 
( US$ millones)]]/Tabla1910111314123347[[#This Row],[Balanza Comercial Absoluta Colombia 
(US$ millones)]])</f>
        <v>#VALUE!</v>
      </c>
      <c r="E69" s="2" t="e">
        <f t="shared" si="0"/>
        <v>#VALUE!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 t="e">
        <f>'Balanza c 01'!B9</f>
        <v>#VALUE!</v>
      </c>
      <c r="C70" s="84" t="e">
        <f>'Apertura 01'!B191</f>
        <v>#VALUE!</v>
      </c>
      <c r="D70" s="32" t="e">
        <f>1-(Tabla1910111314123347[[#This Row],[Balanza Comercial Colombia 
( US$ millones)]]/Tabla1910111314123347[[#This Row],[Balanza Comercial Absoluta Colombia 
(US$ millones)]])</f>
        <v>#VALUE!</v>
      </c>
      <c r="E70" s="2" t="e">
        <f t="shared" si="0"/>
        <v>#VALUE!</v>
      </c>
    </row>
    <row r="71" spans="1:15" x14ac:dyDescent="0.25">
      <c r="A71" s="31">
        <v>1999</v>
      </c>
      <c r="B71" s="73" t="e">
        <f>'Balanza c 01'!B10</f>
        <v>#VALUE!</v>
      </c>
      <c r="C71" s="84" t="e">
        <f>'Apertura 01'!B192</f>
        <v>#VALUE!</v>
      </c>
      <c r="D71" s="32" t="e">
        <f>1-(Tabla1910111314123347[[#This Row],[Balanza Comercial Colombia 
( US$ millones)]]/Tabla1910111314123347[[#This Row],[Balanza Comercial Absoluta Colombia 
(US$ millones)]])</f>
        <v>#VALUE!</v>
      </c>
      <c r="E71" s="2" t="e">
        <f t="shared" si="0"/>
        <v>#VALUE!</v>
      </c>
    </row>
    <row r="72" spans="1:15" x14ac:dyDescent="0.25">
      <c r="A72" s="31">
        <v>2000</v>
      </c>
      <c r="B72" s="73">
        <f>'Balanza c 01'!B11</f>
        <v>-22.635432999999999</v>
      </c>
      <c r="C72" s="84">
        <f>'Apertura 01'!B193</f>
        <v>22.640009572</v>
      </c>
      <c r="D72" s="32">
        <f>1-(Tabla1910111314123347[[#This Row],[Balanza Comercial Colombia 
( US$ millones)]]/Tabla1910111314123347[[#This Row],[Balanza Comercial Absoluta Colombia 
(US$ millones)]])</f>
        <v>1.9997978546791049</v>
      </c>
      <c r="E72" s="2" t="str">
        <f t="shared" si="0"/>
        <v>INDICIOS DE CMRCIO INT</v>
      </c>
    </row>
    <row r="73" spans="1:15" x14ac:dyDescent="0.25">
      <c r="A73" s="31">
        <v>2001</v>
      </c>
      <c r="B73" s="73" t="e">
        <f>'Balanza c 01'!B12</f>
        <v>#VALUE!</v>
      </c>
      <c r="C73" s="84" t="e">
        <f>'Apertura 01'!B194</f>
        <v>#VALUE!</v>
      </c>
      <c r="D73" s="32" t="e">
        <f>1-(Tabla1910111314123347[[#This Row],[Balanza Comercial Colombia 
( US$ millones)]]/Tabla1910111314123347[[#This Row],[Balanza Comercial Absoluta Colombia 
(US$ millones)]])</f>
        <v>#VALUE!</v>
      </c>
      <c r="E73" s="2" t="e">
        <f t="shared" si="0"/>
        <v>#VALUE!</v>
      </c>
    </row>
    <row r="74" spans="1:15" x14ac:dyDescent="0.25">
      <c r="A74" s="31">
        <v>2002</v>
      </c>
      <c r="B74" s="73">
        <f>'Balanza c 01'!B13</f>
        <v>-19.757992000000002</v>
      </c>
      <c r="C74" s="84">
        <f>'Apertura 01'!B195</f>
        <v>19.855439350000001</v>
      </c>
      <c r="D74" s="32">
        <f>1-(Tabla1910111314123347[[#This Row],[Balanza Comercial Colombia 
( US$ millones)]]/Tabla1910111314123347[[#This Row],[Balanza Comercial Absoluta Colombia 
(US$ millones)]])</f>
        <v>1.9950921584618575</v>
      </c>
      <c r="E74" s="2" t="str">
        <f t="shared" si="0"/>
        <v>INDICIOS DE CMRCIO INT</v>
      </c>
    </row>
    <row r="75" spans="1:15" x14ac:dyDescent="0.25">
      <c r="A75" s="31">
        <v>2003</v>
      </c>
      <c r="B75" s="73">
        <f>'Balanza c 01'!B14</f>
        <v>-16.355399999999999</v>
      </c>
      <c r="C75" s="84">
        <f>'Apertura 01'!B196</f>
        <v>16.820433568999999</v>
      </c>
      <c r="D75" s="32">
        <f>1-(Tabla1910111314123347[[#This Row],[Balanza Comercial Colombia 
( US$ millones)]]/Tabla1910111314123347[[#This Row],[Balanza Comercial Absoluta Colombia 
(US$ millones)]])</f>
        <v>1.9723530569475298</v>
      </c>
      <c r="E75" s="2" t="str">
        <f t="shared" si="0"/>
        <v>INDICIOS DE CMRCIO INT</v>
      </c>
    </row>
    <row r="76" spans="1:15" x14ac:dyDescent="0.25">
      <c r="A76" s="31">
        <v>2004</v>
      </c>
      <c r="B76" s="73">
        <f>'Balanza c 01'!B15</f>
        <v>-8.6477280000000007</v>
      </c>
      <c r="C76" s="84">
        <f>'Apertura 01'!B197</f>
        <v>9.0791770180000011</v>
      </c>
      <c r="D76" s="32">
        <f>1-(Tabla1910111314123347[[#This Row],[Balanza Comercial Colombia 
( US$ millones)]]/Tabla1910111314123347[[#This Row],[Balanza Comercial Absoluta Colombia 
(US$ millones)]])</f>
        <v>1.9524792812008591</v>
      </c>
      <c r="E76" s="2" t="str">
        <f t="shared" si="0"/>
        <v>INDICIOS DE CMRCIO INT</v>
      </c>
    </row>
    <row r="77" spans="1:15" x14ac:dyDescent="0.25">
      <c r="A77" s="31">
        <v>2005</v>
      </c>
      <c r="B77" s="73">
        <f>'Balanza c 01'!B16</f>
        <v>-17.741925000000002</v>
      </c>
      <c r="C77" s="84">
        <f>'Apertura 01'!B198</f>
        <v>17.797491511</v>
      </c>
      <c r="D77" s="32">
        <f>1-(Tabla1910111314123347[[#This Row],[Balanza Comercial Colombia 
( US$ millones)]]/Tabla1910111314123347[[#This Row],[Balanza Comercial Absoluta Colombia 
(US$ millones)]])</f>
        <v>1.9968778459051011</v>
      </c>
      <c r="E77" s="2" t="str">
        <f t="shared" si="0"/>
        <v>INDICIOS DE CMRCIO INT</v>
      </c>
    </row>
    <row r="78" spans="1:15" x14ac:dyDescent="0.25">
      <c r="A78" s="31">
        <v>2006</v>
      </c>
      <c r="B78" s="73">
        <f>'Balanza c 01'!B17</f>
        <v>-17.29645</v>
      </c>
      <c r="C78" s="84">
        <f>'Apertura 01'!B199</f>
        <v>17.431362778</v>
      </c>
      <c r="D78" s="32">
        <f>1-(Tabla1910111314123347[[#This Row],[Balanza Comercial Colombia 
( US$ millones)]]/Tabla1910111314123347[[#This Row],[Balanza Comercial Absoluta Colombia 
(US$ millones)]])</f>
        <v>1.9922603424804932</v>
      </c>
      <c r="E78" s="2" t="str">
        <f t="shared" si="0"/>
        <v>INDICIOS DE CMRCIO INT</v>
      </c>
    </row>
    <row r="79" spans="1:15" x14ac:dyDescent="0.25">
      <c r="A79" s="31">
        <v>2007</v>
      </c>
      <c r="B79" s="73">
        <f>'Balanza c 01'!B18</f>
        <v>-22.043412</v>
      </c>
      <c r="C79" s="84">
        <f>'Apertura 01'!B200</f>
        <v>22.135063560000003</v>
      </c>
      <c r="D79" s="32">
        <f>1-(Tabla1910111314123347[[#This Row],[Balanza Comercial Colombia 
( US$ millones)]]/Tabla1910111314123347[[#This Row],[Balanza Comercial Absoluta Colombia 
(US$ millones)]])</f>
        <v>1.9958594399446123</v>
      </c>
      <c r="E79" s="2" t="str">
        <f t="shared" si="0"/>
        <v>INDICIOS DE CMRCIO INT</v>
      </c>
    </row>
    <row r="80" spans="1:15" x14ac:dyDescent="0.25">
      <c r="A80" s="31">
        <v>2008</v>
      </c>
      <c r="B80" s="73">
        <f>'Balanza c 01'!B19</f>
        <v>-33.397836999999996</v>
      </c>
      <c r="C80" s="84">
        <f>'Apertura 01'!B201</f>
        <v>33.683987864999999</v>
      </c>
      <c r="D80" s="32">
        <f>1-(Tabla1910111314123347[[#This Row],[Balanza Comercial Colombia 
( US$ millones)]]/Tabla1910111314123347[[#This Row],[Balanza Comercial Absoluta Colombia 
(US$ millones)]])</f>
        <v>1.9915048400401147</v>
      </c>
      <c r="E80" s="2" t="str">
        <f t="shared" si="0"/>
        <v>INDICIOS DE CMRCIO INT</v>
      </c>
    </row>
    <row r="81" spans="1:5" x14ac:dyDescent="0.25">
      <c r="A81" s="31">
        <v>2009</v>
      </c>
      <c r="B81" s="73">
        <f>'Balanza c 01'!B20</f>
        <v>-29.351302</v>
      </c>
      <c r="C81" s="84">
        <f>'Apertura 01'!B202</f>
        <v>29.724785110000003</v>
      </c>
      <c r="D81" s="32">
        <f>1-(Tabla1910111314123347[[#This Row],[Balanza Comercial Colombia 
( US$ millones)]]/Tabla1910111314123347[[#This Row],[Balanza Comercial Absoluta Colombia 
(US$ millones)]])</f>
        <v>1.9874352965507442</v>
      </c>
      <c r="E81" s="2" t="str">
        <f t="shared" si="0"/>
        <v>INDICIOS DE CMRCIO INT</v>
      </c>
    </row>
    <row r="82" spans="1:5" x14ac:dyDescent="0.25">
      <c r="A82" s="31">
        <v>2010</v>
      </c>
      <c r="B82" s="73">
        <f>'Balanza c 01'!B21</f>
        <v>-39.385942</v>
      </c>
      <c r="C82" s="84">
        <f>'Apertura 01'!B203</f>
        <v>40.215627857000001</v>
      </c>
      <c r="D82" s="32">
        <f>1-(Tabla1910111314123347[[#This Row],[Balanza Comercial Colombia 
( US$ millones)]]/Tabla1910111314123347[[#This Row],[Balanza Comercial Absoluta Colombia 
(US$ millones)]])</f>
        <v>1.9793690686628038</v>
      </c>
      <c r="E82" s="2" t="str">
        <f t="shared" si="0"/>
        <v>INDICIOS DE CMRCIO INT</v>
      </c>
    </row>
    <row r="83" spans="1:5" x14ac:dyDescent="0.25">
      <c r="A83" s="31">
        <v>2011</v>
      </c>
      <c r="B83" s="73">
        <f>'Balanza c 01'!B22</f>
        <v>-55.587797000000002</v>
      </c>
      <c r="C83" s="84">
        <f>'Apertura 01'!B204</f>
        <v>57.537067323000002</v>
      </c>
      <c r="D83" s="32">
        <f>1-(Tabla1910111314123347[[#This Row],[Balanza Comercial Colombia 
( US$ millones)]]/Tabla1910111314123347[[#This Row],[Balanza Comercial Absoluta Colombia 
(US$ millones)]])</f>
        <v>1.966121486309734</v>
      </c>
      <c r="E83" s="2" t="str">
        <f t="shared" si="0"/>
        <v>INDICIOS DE CMRCIO INT</v>
      </c>
    </row>
    <row r="84" spans="1:5" x14ac:dyDescent="0.25">
      <c r="A84" s="31">
        <v>2012</v>
      </c>
      <c r="B84" s="73">
        <f>'Balanza c 01'!B23</f>
        <v>-78.714234999999988</v>
      </c>
      <c r="C84" s="84">
        <f>'Apertura 01'!B205</f>
        <v>81.67837918299999</v>
      </c>
      <c r="D84" s="32">
        <f>1-(Tabla1910111314123347[[#This Row],[Balanza Comercial Colombia 
( US$ millones)]]/Tabla1910111314123347[[#This Row],[Balanza Comercial Absoluta Colombia 
(US$ millones)]])</f>
        <v>1.9637095616655316</v>
      </c>
      <c r="E84" s="2" t="str">
        <f t="shared" si="0"/>
        <v>INDICIOS DE CMRCIO INT</v>
      </c>
    </row>
    <row r="85" spans="1:5" x14ac:dyDescent="0.25">
      <c r="A85" s="31">
        <v>2013</v>
      </c>
      <c r="B85" s="73">
        <f>'Balanza c 01'!B24</f>
        <v>-141.33759599999999</v>
      </c>
      <c r="C85" s="84">
        <f>'Apertura 01'!B206</f>
        <v>143.858102989</v>
      </c>
      <c r="D85" s="32">
        <f>1-(Tabla1910111314123347[[#This Row],[Balanza Comercial Colombia 
( US$ millones)]]/Tabla1910111314123347[[#This Row],[Balanza Comercial Absoluta Colombia 
(US$ millones)]])</f>
        <v>1.9824792143325236</v>
      </c>
      <c r="E85" s="2" t="str">
        <f t="shared" si="0"/>
        <v>INDICIOS DE CMRCIO INT</v>
      </c>
    </row>
    <row r="86" spans="1:5" x14ac:dyDescent="0.25">
      <c r="A86" s="31">
        <v>2014</v>
      </c>
      <c r="B86" s="73">
        <f>'Balanza c 01'!B25</f>
        <v>-214.53056999999998</v>
      </c>
      <c r="C86" s="84">
        <f>'Apertura 01'!B207</f>
        <v>217.69988715099998</v>
      </c>
      <c r="D86" s="32">
        <f>1-(Tabla1910111314123347[[#This Row],[Balanza Comercial Colombia 
( US$ millones)]]/Tabla1910111314123347[[#This Row],[Balanza Comercial Absoluta Colombia 
(US$ millones)]])</f>
        <v>1.9854418061833825</v>
      </c>
      <c r="E86" s="2" t="str">
        <f t="shared" si="0"/>
        <v>INDICIOS DE CMRCIO INT</v>
      </c>
    </row>
    <row r="87" spans="1:5" x14ac:dyDescent="0.25">
      <c r="A87" s="31">
        <v>2015</v>
      </c>
      <c r="B87" s="73">
        <f>'Balanza c 01'!B26</f>
        <v>-166.07507899999999</v>
      </c>
      <c r="C87" s="84">
        <f>'Apertura 01'!B208</f>
        <v>167.278326045</v>
      </c>
      <c r="D87" s="32">
        <f>1-(Tabla1910111314123347[[#This Row],[Balanza Comercial Colombia 
( US$ millones)]]/Tabla1910111314123347[[#This Row],[Balanza Comercial Absoluta Colombia 
(US$ millones)]])</f>
        <v>1.992806916033603</v>
      </c>
      <c r="E87" s="2" t="str">
        <f t="shared" si="0"/>
        <v>INDICIOS DE CMRCIO INT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8" priority="3" operator="lessThan">
      <formula>0</formula>
    </cfRule>
  </conditionalFormatting>
  <conditionalFormatting sqref="E63:E87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N13" sqref="N13"/>
    </sheetView>
  </sheetViews>
  <sheetFormatPr baseColWidth="10" defaultRowHeight="15" x14ac:dyDescent="0.25"/>
  <cols>
    <col min="2" max="2" width="13.42578125" customWidth="1"/>
  </cols>
  <sheetData>
    <row r="1" spans="1:2" ht="60" x14ac:dyDescent="0.25">
      <c r="A1" s="34" t="s">
        <v>3</v>
      </c>
      <c r="B1" s="34" t="s">
        <v>154</v>
      </c>
    </row>
    <row r="2" spans="1:2" x14ac:dyDescent="0.25">
      <c r="A2" s="54">
        <v>1991</v>
      </c>
      <c r="B2" s="73">
        <v>193.2</v>
      </c>
    </row>
    <row r="3" spans="1:2" x14ac:dyDescent="0.25">
      <c r="A3" s="55">
        <v>1992</v>
      </c>
      <c r="B3" s="73">
        <v>98.457999999999998</v>
      </c>
    </row>
    <row r="4" spans="1:2" x14ac:dyDescent="0.25">
      <c r="A4" s="54">
        <v>1993</v>
      </c>
      <c r="B4" s="73">
        <v>189.28800000000001</v>
      </c>
    </row>
    <row r="5" spans="1:2" x14ac:dyDescent="0.25">
      <c r="A5" s="55">
        <v>1994</v>
      </c>
      <c r="B5" s="73">
        <v>181.245</v>
      </c>
    </row>
    <row r="6" spans="1:2" x14ac:dyDescent="0.25">
      <c r="A6" s="54">
        <v>1995</v>
      </c>
      <c r="B6" s="73">
        <v>318.63600000000002</v>
      </c>
    </row>
    <row r="7" spans="1:2" x14ac:dyDescent="0.25">
      <c r="A7" s="55">
        <v>1996</v>
      </c>
      <c r="B7" s="73">
        <v>186.023</v>
      </c>
    </row>
    <row r="8" spans="1:2" x14ac:dyDescent="0.25">
      <c r="A8" s="54">
        <v>1997</v>
      </c>
      <c r="B8" s="73">
        <v>299.63900000000001</v>
      </c>
    </row>
    <row r="9" spans="1:2" x14ac:dyDescent="0.25">
      <c r="A9" s="55">
        <v>1998</v>
      </c>
      <c r="B9" s="73">
        <v>229.15799999999999</v>
      </c>
    </row>
    <row r="10" spans="1:2" x14ac:dyDescent="0.25">
      <c r="A10" s="54">
        <v>1999</v>
      </c>
      <c r="B10" s="73">
        <v>48.418999999999997</v>
      </c>
    </row>
    <row r="11" spans="1:2" x14ac:dyDescent="0.25">
      <c r="A11" s="55">
        <v>2000</v>
      </c>
      <c r="B11" s="73">
        <v>130.333</v>
      </c>
    </row>
    <row r="12" spans="1:2" x14ac:dyDescent="0.25">
      <c r="A12" s="55">
        <v>2001</v>
      </c>
      <c r="B12" s="73">
        <v>44.466000000000001</v>
      </c>
    </row>
    <row r="13" spans="1:2" x14ac:dyDescent="0.25">
      <c r="A13" s="55">
        <v>2002</v>
      </c>
      <c r="B13" s="73">
        <v>1143.337</v>
      </c>
    </row>
    <row r="14" spans="1:2" x14ac:dyDescent="0.25">
      <c r="A14" s="54">
        <v>2003</v>
      </c>
      <c r="B14" s="73">
        <v>1736.789</v>
      </c>
    </row>
    <row r="15" spans="1:2" x14ac:dyDescent="0.25">
      <c r="A15" s="55">
        <v>2004</v>
      </c>
      <c r="B15" s="73">
        <v>3722.8020000000001</v>
      </c>
    </row>
    <row r="16" spans="1:2" x14ac:dyDescent="0.25">
      <c r="A16" s="54">
        <v>2005</v>
      </c>
      <c r="B16" s="73">
        <v>2617.0740000000001</v>
      </c>
    </row>
    <row r="17" spans="1:2" x14ac:dyDescent="0.25">
      <c r="A17" s="55">
        <v>2006</v>
      </c>
      <c r="B17" s="73">
        <v>2260.576</v>
      </c>
    </row>
    <row r="18" spans="1:2" x14ac:dyDescent="0.25">
      <c r="A18" s="54">
        <v>2007</v>
      </c>
      <c r="B18" s="73">
        <v>1929.002</v>
      </c>
    </row>
    <row r="19" spans="1:2" x14ac:dyDescent="0.25">
      <c r="A19" s="55">
        <v>2008</v>
      </c>
      <c r="B19" s="73">
        <v>2543.1509999999998</v>
      </c>
    </row>
    <row r="20" spans="1:2" x14ac:dyDescent="0.25">
      <c r="A20" s="54">
        <v>2009</v>
      </c>
      <c r="B20" s="73">
        <v>1629.9090000000001</v>
      </c>
    </row>
    <row r="21" spans="1:2" x14ac:dyDescent="0.25">
      <c r="A21" s="55">
        <v>2010</v>
      </c>
      <c r="B21" s="73">
        <v>1239.7750000000001</v>
      </c>
    </row>
    <row r="22" spans="1:2" x14ac:dyDescent="0.25">
      <c r="A22" s="54">
        <v>2011</v>
      </c>
      <c r="B22" s="73">
        <v>1556.4110000000001</v>
      </c>
    </row>
    <row r="23" spans="1:2" x14ac:dyDescent="0.25">
      <c r="A23" s="55">
        <v>2012</v>
      </c>
      <c r="B23" s="73">
        <v>1228.972</v>
      </c>
    </row>
    <row r="24" spans="1:2" x14ac:dyDescent="0.25">
      <c r="A24" s="54">
        <v>2013</v>
      </c>
      <c r="B24" s="73">
        <v>1314.857</v>
      </c>
    </row>
    <row r="25" spans="1:2" x14ac:dyDescent="0.25">
      <c r="A25" s="55">
        <v>2014</v>
      </c>
      <c r="B25" s="73">
        <v>2674.6019999999999</v>
      </c>
    </row>
    <row r="26" spans="1:2" x14ac:dyDescent="0.25">
      <c r="A26" s="54">
        <v>2015</v>
      </c>
      <c r="B26" s="73">
        <v>3160.4050000000002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H123" sqref="H123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141</v>
      </c>
    </row>
    <row r="2" spans="1:2" x14ac:dyDescent="0.25">
      <c r="A2" s="54">
        <v>1991</v>
      </c>
      <c r="B2" s="93">
        <v>1.488518</v>
      </c>
    </row>
    <row r="3" spans="1:2" x14ac:dyDescent="0.25">
      <c r="A3" s="55">
        <v>1992</v>
      </c>
      <c r="B3" s="93">
        <v>6.3081459999999998</v>
      </c>
    </row>
    <row r="4" spans="1:2" x14ac:dyDescent="0.25">
      <c r="A4" s="54">
        <v>1993</v>
      </c>
      <c r="B4" s="93">
        <v>9.1881140000000006</v>
      </c>
    </row>
    <row r="5" spans="1:2" x14ac:dyDescent="0.25">
      <c r="A5" s="55">
        <v>1994</v>
      </c>
      <c r="B5" s="93">
        <v>5.7732659999999996</v>
      </c>
    </row>
    <row r="6" spans="1:2" x14ac:dyDescent="0.25">
      <c r="A6" s="54">
        <v>1995</v>
      </c>
      <c r="B6" s="93">
        <v>14.381983999999999</v>
      </c>
    </row>
    <row r="7" spans="1:2" x14ac:dyDescent="0.25">
      <c r="A7" s="55">
        <v>1996</v>
      </c>
      <c r="B7" s="93">
        <v>9.2738960000000006</v>
      </c>
    </row>
    <row r="8" spans="1:2" x14ac:dyDescent="0.25">
      <c r="A8" s="54">
        <v>1997</v>
      </c>
      <c r="B8" s="93">
        <v>13.991676999999999</v>
      </c>
    </row>
    <row r="9" spans="1:2" x14ac:dyDescent="0.25">
      <c r="A9" s="55">
        <v>1998</v>
      </c>
      <c r="B9" s="93">
        <v>8.2078140000000008</v>
      </c>
    </row>
    <row r="10" spans="1:2" x14ac:dyDescent="0.25">
      <c r="A10" s="54">
        <v>1999</v>
      </c>
      <c r="B10" s="93">
        <v>3.582703</v>
      </c>
    </row>
    <row r="11" spans="1:2" x14ac:dyDescent="0.25">
      <c r="A11" s="55">
        <v>2000</v>
      </c>
      <c r="B11" s="93">
        <v>4.2160919999999997</v>
      </c>
    </row>
    <row r="12" spans="1:2" x14ac:dyDescent="0.25">
      <c r="A12" s="54">
        <v>2001</v>
      </c>
      <c r="B12" s="93">
        <v>3.6428370000000001</v>
      </c>
    </row>
    <row r="13" spans="1:2" x14ac:dyDescent="0.25">
      <c r="A13" s="55">
        <v>2002</v>
      </c>
      <c r="B13" s="93">
        <v>0.99275800000000003</v>
      </c>
    </row>
    <row r="14" spans="1:2" x14ac:dyDescent="0.25">
      <c r="A14" s="54">
        <v>2003</v>
      </c>
      <c r="B14" s="93">
        <v>1.186763</v>
      </c>
    </row>
    <row r="15" spans="1:2" x14ac:dyDescent="0.25">
      <c r="A15" s="55">
        <v>2004</v>
      </c>
      <c r="B15" s="93">
        <v>2.2491099999999999</v>
      </c>
    </row>
    <row r="16" spans="1:2" x14ac:dyDescent="0.25">
      <c r="A16" s="54">
        <v>2005</v>
      </c>
      <c r="B16" s="93">
        <v>3.9962680000000002</v>
      </c>
    </row>
    <row r="17" spans="1:2" x14ac:dyDescent="0.25">
      <c r="A17" s="55">
        <v>2006</v>
      </c>
      <c r="B17" s="93">
        <v>3.2213280000000002</v>
      </c>
    </row>
    <row r="18" spans="1:2" x14ac:dyDescent="0.25">
      <c r="A18" s="54">
        <v>2007</v>
      </c>
      <c r="B18" s="93">
        <v>4.4266769999999998</v>
      </c>
    </row>
    <row r="19" spans="1:2" x14ac:dyDescent="0.25">
      <c r="A19" s="55">
        <v>2008</v>
      </c>
      <c r="B19" s="93">
        <v>8.3235340000000004</v>
      </c>
    </row>
    <row r="20" spans="1:2" x14ac:dyDescent="0.25">
      <c r="A20" s="54">
        <v>2009</v>
      </c>
      <c r="B20" s="93">
        <v>3.0615399999999999</v>
      </c>
    </row>
    <row r="21" spans="1:2" x14ac:dyDescent="0.25">
      <c r="A21" s="55">
        <v>2010</v>
      </c>
      <c r="B21" s="93">
        <v>2.009004</v>
      </c>
    </row>
    <row r="22" spans="1:2" x14ac:dyDescent="0.25">
      <c r="A22" s="54">
        <v>2011</v>
      </c>
      <c r="B22" s="93">
        <v>3.4654319999999998</v>
      </c>
    </row>
    <row r="23" spans="1:2" x14ac:dyDescent="0.25">
      <c r="A23" s="55">
        <v>2012</v>
      </c>
      <c r="B23" s="93">
        <v>17.508887999999999</v>
      </c>
    </row>
    <row r="24" spans="1:2" x14ac:dyDescent="0.25">
      <c r="A24" s="54">
        <v>2013</v>
      </c>
      <c r="B24" s="93">
        <v>30.783857000000001</v>
      </c>
    </row>
    <row r="25" spans="1:2" x14ac:dyDescent="0.25">
      <c r="A25" s="55">
        <v>2014</v>
      </c>
      <c r="B25" s="93">
        <v>51.005201999999997</v>
      </c>
    </row>
    <row r="26" spans="1:2" x14ac:dyDescent="0.25">
      <c r="A26" s="54">
        <v>2015</v>
      </c>
      <c r="B26" s="93">
        <v>45.102443999999998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123" sqref="H123"/>
    </sheetView>
  </sheetViews>
  <sheetFormatPr baseColWidth="10" defaultRowHeight="15" x14ac:dyDescent="0.25"/>
  <cols>
    <col min="2" max="2" width="12.85546875" customWidth="1"/>
  </cols>
  <sheetData>
    <row r="1" spans="1:7" ht="75" x14ac:dyDescent="0.25">
      <c r="A1" s="34" t="s">
        <v>3</v>
      </c>
      <c r="B1" s="34" t="s">
        <v>142</v>
      </c>
    </row>
    <row r="2" spans="1:7" x14ac:dyDescent="0.25">
      <c r="A2" s="54">
        <v>1991</v>
      </c>
      <c r="B2" s="94">
        <f>('[2]Export 02'!B2/1000)-('[2]Import 02'!B2)</f>
        <v>-1.295318</v>
      </c>
      <c r="D2" s="128" t="s">
        <v>36</v>
      </c>
      <c r="E2" s="128"/>
      <c r="F2" s="89" t="s">
        <v>10</v>
      </c>
      <c r="G2" s="7" t="s">
        <v>37</v>
      </c>
    </row>
    <row r="3" spans="1:7" x14ac:dyDescent="0.25">
      <c r="A3" s="55">
        <v>1992</v>
      </c>
      <c r="B3" s="94">
        <f>('[2]Export 02'!B3/1000)-('[2]Import 02'!B3)</f>
        <v>-6.2096879999999999</v>
      </c>
    </row>
    <row r="4" spans="1:7" x14ac:dyDescent="0.25">
      <c r="A4" s="54">
        <v>1993</v>
      </c>
      <c r="B4" s="94">
        <f>('[2]Export 02'!B4/1000)-('[2]Import 02'!B4)</f>
        <v>-8.9988260000000011</v>
      </c>
    </row>
    <row r="5" spans="1:7" x14ac:dyDescent="0.25">
      <c r="A5" s="55">
        <v>1994</v>
      </c>
      <c r="B5" s="94">
        <f>('[2]Export 02'!B5/1000)-('[2]Import 02'!B5)</f>
        <v>-5.5920209999999999</v>
      </c>
    </row>
    <row r="6" spans="1:7" x14ac:dyDescent="0.25">
      <c r="A6" s="54">
        <v>1995</v>
      </c>
      <c r="B6" s="94">
        <f>('[2]Export 02'!B6/1000)-('[2]Import 02'!B6)</f>
        <v>-14.063348</v>
      </c>
    </row>
    <row r="7" spans="1:7" x14ac:dyDescent="0.25">
      <c r="A7" s="55">
        <v>1996</v>
      </c>
      <c r="B7" s="94">
        <f>('[2]Export 02'!B7/1000)-('[2]Import 02'!B7)</f>
        <v>-9.0878730000000001</v>
      </c>
    </row>
    <row r="8" spans="1:7" x14ac:dyDescent="0.25">
      <c r="A8" s="54">
        <v>1997</v>
      </c>
      <c r="B8" s="94">
        <f>('[2]Export 02'!B8/1000)-('[2]Import 02'!B8)</f>
        <v>-13.692038</v>
      </c>
    </row>
    <row r="9" spans="1:7" x14ac:dyDescent="0.25">
      <c r="A9" s="55">
        <v>1998</v>
      </c>
      <c r="B9" s="94">
        <f>('[2]Export 02'!B9/1000)-('[2]Import 02'!B9)</f>
        <v>-7.9786560000000009</v>
      </c>
    </row>
    <row r="10" spans="1:7" x14ac:dyDescent="0.25">
      <c r="A10" s="54">
        <v>1999</v>
      </c>
      <c r="B10" s="94">
        <f>('[2]Export 02'!B10/1000)-('[2]Import 02'!B10)</f>
        <v>-3.534284</v>
      </c>
    </row>
    <row r="11" spans="1:7" x14ac:dyDescent="0.25">
      <c r="A11" s="55">
        <v>2000</v>
      </c>
      <c r="B11" s="94">
        <f>('[2]Export 02'!B11/1000)-('[2]Import 02'!B11)</f>
        <v>-4.0857589999999995</v>
      </c>
    </row>
    <row r="12" spans="1:7" x14ac:dyDescent="0.25">
      <c r="A12" s="54">
        <v>2001</v>
      </c>
      <c r="B12" s="94">
        <f>('[2]Export 02'!B12/1000)-('[2]Import 02'!B12)</f>
        <v>-3.5983710000000002</v>
      </c>
    </row>
    <row r="13" spans="1:7" x14ac:dyDescent="0.25">
      <c r="A13" s="55">
        <v>2002</v>
      </c>
      <c r="B13" s="94">
        <f>('[2]Export 02'!B13/1000)-('[2]Import 02'!B13)</f>
        <v>0.15057900000000002</v>
      </c>
    </row>
    <row r="14" spans="1:7" x14ac:dyDescent="0.25">
      <c r="A14" s="54">
        <v>2003</v>
      </c>
      <c r="B14" s="94">
        <f>('[2]Export 02'!B14/1000)-('[2]Import 02'!B14)</f>
        <v>0.5500259999999999</v>
      </c>
    </row>
    <row r="15" spans="1:7" x14ac:dyDescent="0.25">
      <c r="A15" s="55">
        <v>2004</v>
      </c>
      <c r="B15" s="94">
        <f>('[2]Export 02'!B15/1000)-('[2]Import 02'!B15)</f>
        <v>1.4736920000000002</v>
      </c>
    </row>
    <row r="16" spans="1:7" x14ac:dyDescent="0.25">
      <c r="A16" s="54">
        <v>2005</v>
      </c>
      <c r="B16" s="94">
        <f>('[2]Export 02'!B16/1000)-('[2]Import 02'!B16)</f>
        <v>-1.379194</v>
      </c>
    </row>
    <row r="17" spans="1:2" x14ac:dyDescent="0.25">
      <c r="A17" s="55">
        <v>2006</v>
      </c>
      <c r="B17" s="94">
        <f>('[2]Export 02'!B17/1000)-('[2]Import 02'!B17)</f>
        <v>-0.96075200000000027</v>
      </c>
    </row>
    <row r="18" spans="1:2" x14ac:dyDescent="0.25">
      <c r="A18" s="54">
        <v>2007</v>
      </c>
      <c r="B18" s="94">
        <f>('[2]Export 02'!B18/1000)-('[2]Import 02'!B18)</f>
        <v>-2.4976750000000001</v>
      </c>
    </row>
    <row r="19" spans="1:2" x14ac:dyDescent="0.25">
      <c r="A19" s="55">
        <v>2008</v>
      </c>
      <c r="B19" s="94">
        <f>('[2]Export 02'!B19/1000)-('[2]Import 02'!B19)</f>
        <v>-5.7803830000000005</v>
      </c>
    </row>
    <row r="20" spans="1:2" x14ac:dyDescent="0.25">
      <c r="A20" s="54">
        <v>2009</v>
      </c>
      <c r="B20" s="94">
        <f>('[2]Export 02'!B20/1000)-('[2]Import 02'!B20)</f>
        <v>-1.4316309999999999</v>
      </c>
    </row>
    <row r="21" spans="1:2" x14ac:dyDescent="0.25">
      <c r="A21" s="55">
        <v>2010</v>
      </c>
      <c r="B21" s="94">
        <f>('[2]Export 02'!B21/1000)-('[2]Import 02'!B21)</f>
        <v>-0.76922899999999994</v>
      </c>
    </row>
    <row r="22" spans="1:2" x14ac:dyDescent="0.25">
      <c r="A22" s="54">
        <v>2011</v>
      </c>
      <c r="B22" s="94">
        <f>('[2]Export 02'!B22/1000)-('[2]Import 02'!B22)</f>
        <v>-1.9090209999999999</v>
      </c>
    </row>
    <row r="23" spans="1:2" x14ac:dyDescent="0.25">
      <c r="A23" s="55">
        <v>2012</v>
      </c>
      <c r="B23" s="94">
        <f>('[2]Export 02'!B23/1000)-('[2]Import 02'!B23)</f>
        <v>-16.279916</v>
      </c>
    </row>
    <row r="24" spans="1:2" x14ac:dyDescent="0.25">
      <c r="A24" s="54">
        <v>2013</v>
      </c>
      <c r="B24" s="94">
        <f>('[2]Export 02'!B24/1000)-('[2]Import 02'!B24)</f>
        <v>-29.469000000000001</v>
      </c>
    </row>
    <row r="25" spans="1:2" x14ac:dyDescent="0.25">
      <c r="A25" s="55">
        <v>2014</v>
      </c>
      <c r="B25" s="94">
        <f>('[2]Export 02'!B25/1000)-('[2]Import 02'!B25)</f>
        <v>-48.330599999999997</v>
      </c>
    </row>
    <row r="26" spans="1:2" x14ac:dyDescent="0.25">
      <c r="A26" s="54">
        <v>2015</v>
      </c>
      <c r="B26" s="94">
        <f>('[2]Export 02'!B26/1000)-('[2]Import 02'!B26)</f>
        <v>-41.942039000000001</v>
      </c>
    </row>
    <row r="27" spans="1:2" x14ac:dyDescent="0.25">
      <c r="A27" t="s">
        <v>117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opLeftCell="A16" zoomScaleNormal="100" workbookViewId="0">
      <selection activeCell="F32" sqref="F32"/>
    </sheetView>
  </sheetViews>
  <sheetFormatPr baseColWidth="10" defaultRowHeight="15" x14ac:dyDescent="0.25"/>
  <cols>
    <col min="4" max="4" width="16.42578125" bestFit="1" customWidth="1"/>
    <col min="5" max="5" width="16.85546875" bestFit="1" customWidth="1"/>
    <col min="6" max="6" width="20" bestFit="1" customWidth="1"/>
    <col min="7" max="7" width="20.85546875" bestFit="1" customWidth="1"/>
  </cols>
  <sheetData>
    <row r="1" spans="1:2" x14ac:dyDescent="0.25">
      <c r="A1" t="s">
        <v>0</v>
      </c>
      <c r="B1" t="s">
        <v>118</v>
      </c>
    </row>
    <row r="3" spans="1:2" x14ac:dyDescent="0.25">
      <c r="A3">
        <v>1991</v>
      </c>
      <c r="B3">
        <v>734103</v>
      </c>
    </row>
    <row r="4" spans="1:2" x14ac:dyDescent="0.25">
      <c r="A4">
        <v>1992</v>
      </c>
      <c r="B4">
        <v>1414192</v>
      </c>
    </row>
    <row r="5" spans="1:2" x14ac:dyDescent="0.25">
      <c r="A5">
        <v>1993</v>
      </c>
      <c r="B5">
        <v>2008502</v>
      </c>
    </row>
    <row r="6" spans="1:2" x14ac:dyDescent="0.25">
      <c r="A6">
        <v>1994</v>
      </c>
      <c r="B6">
        <v>2032533</v>
      </c>
    </row>
    <row r="7" spans="1:2" x14ac:dyDescent="0.25">
      <c r="A7">
        <v>1995</v>
      </c>
      <c r="B7">
        <v>2091588</v>
      </c>
    </row>
    <row r="8" spans="1:2" x14ac:dyDescent="0.25">
      <c r="A8">
        <v>1996</v>
      </c>
      <c r="B8">
        <v>1953782</v>
      </c>
    </row>
    <row r="9" spans="1:2" x14ac:dyDescent="0.25">
      <c r="A9">
        <v>1997</v>
      </c>
      <c r="B9">
        <v>1089641</v>
      </c>
    </row>
    <row r="10" spans="1:2" x14ac:dyDescent="0.25">
      <c r="A10">
        <v>1998</v>
      </c>
      <c r="B10">
        <v>943567</v>
      </c>
    </row>
    <row r="11" spans="1:2" x14ac:dyDescent="0.25">
      <c r="A11">
        <v>1999</v>
      </c>
      <c r="B11">
        <v>1843074</v>
      </c>
    </row>
    <row r="12" spans="1:2" x14ac:dyDescent="0.25">
      <c r="A12">
        <v>2000</v>
      </c>
      <c r="B12">
        <v>1791836</v>
      </c>
    </row>
    <row r="13" spans="1:2" x14ac:dyDescent="0.25">
      <c r="A13">
        <v>2001</v>
      </c>
      <c r="B13">
        <v>1957270</v>
      </c>
    </row>
    <row r="14" spans="1:2" x14ac:dyDescent="0.25">
      <c r="A14">
        <v>2002</v>
      </c>
      <c r="B14">
        <v>1236923</v>
      </c>
    </row>
    <row r="15" spans="1:2" x14ac:dyDescent="0.25">
      <c r="A15">
        <v>2003</v>
      </c>
      <c r="B15">
        <v>1441682</v>
      </c>
    </row>
    <row r="16" spans="1:2" x14ac:dyDescent="0.25">
      <c r="A16">
        <v>2004</v>
      </c>
      <c r="B16">
        <v>2121651</v>
      </c>
    </row>
    <row r="17" spans="1:2" x14ac:dyDescent="0.25">
      <c r="A17">
        <v>2005</v>
      </c>
      <c r="B17">
        <v>3450021</v>
      </c>
    </row>
    <row r="18" spans="1:2" x14ac:dyDescent="0.25">
      <c r="A18">
        <v>2006</v>
      </c>
      <c r="B18">
        <v>1953683</v>
      </c>
    </row>
    <row r="19" spans="1:2" x14ac:dyDescent="0.25">
      <c r="A19">
        <v>2007</v>
      </c>
      <c r="B19">
        <v>2639740</v>
      </c>
    </row>
    <row r="20" spans="1:2" x14ac:dyDescent="0.25">
      <c r="A20">
        <v>2008</v>
      </c>
      <c r="B20">
        <v>1717326</v>
      </c>
    </row>
    <row r="21" spans="1:2" x14ac:dyDescent="0.25">
      <c r="A21">
        <v>2009</v>
      </c>
      <c r="B21">
        <v>1575631</v>
      </c>
    </row>
    <row r="22" spans="1:2" x14ac:dyDescent="0.25">
      <c r="A22">
        <v>2010</v>
      </c>
      <c r="B22">
        <v>1504893</v>
      </c>
    </row>
    <row r="23" spans="1:2" x14ac:dyDescent="0.25">
      <c r="A23">
        <v>2011</v>
      </c>
      <c r="B23">
        <v>972726</v>
      </c>
    </row>
    <row r="24" spans="1:2" x14ac:dyDescent="0.25">
      <c r="A24">
        <v>2012</v>
      </c>
      <c r="B24">
        <v>1055278</v>
      </c>
    </row>
    <row r="25" spans="1:2" x14ac:dyDescent="0.25">
      <c r="A25">
        <v>2013</v>
      </c>
      <c r="B25">
        <v>1403419</v>
      </c>
    </row>
    <row r="26" spans="1:2" x14ac:dyDescent="0.25">
      <c r="A26">
        <v>2014</v>
      </c>
      <c r="B26">
        <v>1707657</v>
      </c>
    </row>
    <row r="27" spans="1:2" x14ac:dyDescent="0.25">
      <c r="A27">
        <v>2015</v>
      </c>
      <c r="B27">
        <v>2333547</v>
      </c>
    </row>
    <row r="29" spans="1:2" x14ac:dyDescent="0.25">
      <c r="A29">
        <v>1991</v>
      </c>
      <c r="B29">
        <v>1806394</v>
      </c>
    </row>
    <row r="30" spans="1:2" x14ac:dyDescent="0.25">
      <c r="A30">
        <v>1992</v>
      </c>
      <c r="B30">
        <v>3152638</v>
      </c>
    </row>
    <row r="31" spans="1:2" x14ac:dyDescent="0.25">
      <c r="A31">
        <v>1993</v>
      </c>
      <c r="B31">
        <v>3215287</v>
      </c>
    </row>
    <row r="32" spans="1:2" x14ac:dyDescent="0.25">
      <c r="A32">
        <v>1994</v>
      </c>
      <c r="B32">
        <v>4474981</v>
      </c>
    </row>
    <row r="33" spans="1:2" x14ac:dyDescent="0.25">
      <c r="A33">
        <v>1995</v>
      </c>
      <c r="B33">
        <v>3992277</v>
      </c>
    </row>
    <row r="34" spans="1:2" x14ac:dyDescent="0.25">
      <c r="A34">
        <v>1996</v>
      </c>
      <c r="B34">
        <v>5379802</v>
      </c>
    </row>
    <row r="35" spans="1:2" x14ac:dyDescent="0.25">
      <c r="A35">
        <v>1997</v>
      </c>
      <c r="B35">
        <v>3821105</v>
      </c>
    </row>
    <row r="36" spans="1:2" x14ac:dyDescent="0.25">
      <c r="A36">
        <v>1998</v>
      </c>
      <c r="B36">
        <v>3538690</v>
      </c>
    </row>
    <row r="37" spans="1:2" x14ac:dyDescent="0.25">
      <c r="A37">
        <v>1999</v>
      </c>
      <c r="B37">
        <v>3328647</v>
      </c>
    </row>
    <row r="38" spans="1:2" x14ac:dyDescent="0.25">
      <c r="A38">
        <v>2000</v>
      </c>
      <c r="B38">
        <v>2423267</v>
      </c>
    </row>
    <row r="39" spans="1:2" x14ac:dyDescent="0.25">
      <c r="A39">
        <v>2001</v>
      </c>
      <c r="B39">
        <v>3458690</v>
      </c>
    </row>
    <row r="40" spans="1:2" x14ac:dyDescent="0.25">
      <c r="A40">
        <v>2002</v>
      </c>
      <c r="B40">
        <v>3495885</v>
      </c>
    </row>
    <row r="41" spans="1:2" x14ac:dyDescent="0.25">
      <c r="A41">
        <v>2003</v>
      </c>
      <c r="B41">
        <v>4221439</v>
      </c>
    </row>
    <row r="42" spans="1:2" x14ac:dyDescent="0.25">
      <c r="A42">
        <v>2004</v>
      </c>
      <c r="B42">
        <v>2268058</v>
      </c>
    </row>
    <row r="43" spans="1:2" x14ac:dyDescent="0.25">
      <c r="A43">
        <v>2005</v>
      </c>
      <c r="B43">
        <v>3775595</v>
      </c>
    </row>
    <row r="44" spans="1:2" x14ac:dyDescent="0.25">
      <c r="A44">
        <v>2006</v>
      </c>
      <c r="B44">
        <v>3769528</v>
      </c>
    </row>
    <row r="45" spans="1:2" x14ac:dyDescent="0.25">
      <c r="A45">
        <v>2007</v>
      </c>
      <c r="B45">
        <v>4219667</v>
      </c>
    </row>
    <row r="46" spans="1:2" x14ac:dyDescent="0.25">
      <c r="A46">
        <v>2008</v>
      </c>
      <c r="B46">
        <v>4908385</v>
      </c>
    </row>
    <row r="47" spans="1:2" x14ac:dyDescent="0.25">
      <c r="A47">
        <v>2009</v>
      </c>
      <c r="B47">
        <v>4795928</v>
      </c>
    </row>
    <row r="48" spans="1:2" x14ac:dyDescent="0.25">
      <c r="A48">
        <v>2010</v>
      </c>
      <c r="B48">
        <v>912506</v>
      </c>
    </row>
    <row r="49" spans="1:2" x14ac:dyDescent="0.25">
      <c r="A49">
        <v>2011</v>
      </c>
      <c r="B49">
        <v>1611544</v>
      </c>
    </row>
    <row r="50" spans="1:2" x14ac:dyDescent="0.25">
      <c r="A50">
        <v>2012</v>
      </c>
      <c r="B50">
        <v>1734827</v>
      </c>
    </row>
    <row r="51" spans="1:2" x14ac:dyDescent="0.25">
      <c r="A51">
        <v>2013</v>
      </c>
      <c r="B51">
        <v>1652723</v>
      </c>
    </row>
    <row r="52" spans="1:2" x14ac:dyDescent="0.25">
      <c r="A52">
        <v>2014</v>
      </c>
      <c r="B52">
        <v>1246878</v>
      </c>
    </row>
    <row r="53" spans="1:2" x14ac:dyDescent="0.25">
      <c r="A53">
        <v>2015</v>
      </c>
      <c r="B53">
        <v>520468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183" zoomScale="110" zoomScaleNormal="110" workbookViewId="0">
      <selection activeCell="G90" sqref="G90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4.28515625" bestFit="1" customWidth="1"/>
    <col min="6" max="6" width="13.28515625" customWidth="1"/>
    <col min="7" max="8" width="12.5703125" customWidth="1"/>
    <col min="9" max="9" width="3.7109375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89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121</v>
      </c>
      <c r="C6" s="13" t="s">
        <v>9</v>
      </c>
      <c r="D6" s="14" t="s">
        <v>4</v>
      </c>
    </row>
    <row r="7" spans="1:10" x14ac:dyDescent="0.25">
      <c r="A7" s="10">
        <v>1991</v>
      </c>
      <c r="B7" s="2">
        <f>'[2]Export 02'!B2</f>
        <v>193.2</v>
      </c>
      <c r="C7" s="5">
        <v>41239.551378248201</v>
      </c>
      <c r="D7" s="75">
        <f t="shared" ref="D7:D31" si="0">B7/(C7*100000)</f>
        <v>4.6848230289406909E-8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2">
        <f>'[2]Export 02'!B3</f>
        <v>98.457999999999998</v>
      </c>
      <c r="C8" s="5">
        <v>49279.585355094838</v>
      </c>
      <c r="D8" s="75">
        <f t="shared" si="0"/>
        <v>1.9979470056523274E-8</v>
      </c>
    </row>
    <row r="9" spans="1:10" x14ac:dyDescent="0.25">
      <c r="A9" s="10">
        <v>1993</v>
      </c>
      <c r="B9" s="2">
        <f>'[2]Export 02'!B4</f>
        <v>189.28800000000001</v>
      </c>
      <c r="C9" s="5">
        <v>55802.540100979531</v>
      </c>
      <c r="D9" s="75">
        <f t="shared" si="0"/>
        <v>3.3921036507920066E-8</v>
      </c>
    </row>
    <row r="10" spans="1:10" x14ac:dyDescent="0.25">
      <c r="A10" s="10">
        <v>1994</v>
      </c>
      <c r="B10" s="2">
        <f>'[2]Export 02'!B5</f>
        <v>181.245</v>
      </c>
      <c r="C10" s="5">
        <v>81703.496603993364</v>
      </c>
      <c r="D10" s="75">
        <f t="shared" si="0"/>
        <v>2.2183261125098704E-8</v>
      </c>
    </row>
    <row r="11" spans="1:10" x14ac:dyDescent="0.25">
      <c r="A11" s="10">
        <v>1995</v>
      </c>
      <c r="B11" s="2">
        <f>'[2]Export 02'!B6</f>
        <v>318.63600000000002</v>
      </c>
      <c r="C11" s="5">
        <v>92507.277798198498</v>
      </c>
      <c r="D11" s="75">
        <f t="shared" si="0"/>
        <v>3.4444425085677443E-8</v>
      </c>
    </row>
    <row r="12" spans="1:10" x14ac:dyDescent="0.25">
      <c r="A12" s="10">
        <v>1996</v>
      </c>
      <c r="B12" s="2">
        <f>'[2]Export 02'!B7</f>
        <v>186.023</v>
      </c>
      <c r="C12" s="5">
        <v>97160.111573336981</v>
      </c>
      <c r="D12" s="75">
        <f t="shared" si="0"/>
        <v>1.9146025770008386E-8</v>
      </c>
    </row>
    <row r="13" spans="1:10" x14ac:dyDescent="0.25">
      <c r="A13" s="10">
        <v>1997</v>
      </c>
      <c r="B13" s="2">
        <f>'[2]Export 02'!B8</f>
        <v>299.63900000000001</v>
      </c>
      <c r="C13" s="5">
        <v>106659.5079635281</v>
      </c>
      <c r="D13" s="75">
        <f t="shared" si="0"/>
        <v>2.8093041653863684E-8</v>
      </c>
    </row>
    <row r="14" spans="1:10" x14ac:dyDescent="0.25">
      <c r="A14" s="10">
        <v>1998</v>
      </c>
      <c r="B14" s="2">
        <f>'[2]Export 02'!B9</f>
        <v>229.15799999999999</v>
      </c>
      <c r="C14" s="5">
        <v>98443.743190849113</v>
      </c>
      <c r="D14" s="75">
        <f t="shared" si="0"/>
        <v>2.3278066494865006E-8</v>
      </c>
    </row>
    <row r="15" spans="1:10" x14ac:dyDescent="0.25">
      <c r="A15" s="10">
        <v>1999</v>
      </c>
      <c r="B15" s="2">
        <f>'[2]Export 02'!B10</f>
        <v>48.418999999999997</v>
      </c>
      <c r="C15" s="5">
        <v>86186.156584381664</v>
      </c>
      <c r="D15" s="75">
        <f t="shared" si="0"/>
        <v>5.6179555880989722E-9</v>
      </c>
    </row>
    <row r="16" spans="1:10" x14ac:dyDescent="0.25">
      <c r="A16" s="10">
        <v>2000</v>
      </c>
      <c r="B16" s="2">
        <f>'[2]Export 02'!B11</f>
        <v>130.333</v>
      </c>
      <c r="C16" s="5">
        <v>99886.577575544405</v>
      </c>
      <c r="D16" s="75">
        <f t="shared" si="0"/>
        <v>1.304809947076512E-8</v>
      </c>
    </row>
    <row r="17" spans="1:4" x14ac:dyDescent="0.25">
      <c r="A17" s="10">
        <v>2001</v>
      </c>
      <c r="B17" s="2">
        <f>'[2]Export 02'!B12</f>
        <v>44.466000000000001</v>
      </c>
      <c r="C17" s="5">
        <v>98203.544965267793</v>
      </c>
      <c r="D17" s="75">
        <f t="shared" si="0"/>
        <v>4.5279424501148655E-9</v>
      </c>
    </row>
    <row r="18" spans="1:4" x14ac:dyDescent="0.25">
      <c r="A18" s="10">
        <v>2002</v>
      </c>
      <c r="B18" s="2">
        <f>'[2]Export 02'!B13</f>
        <v>1143.337</v>
      </c>
      <c r="C18" s="5">
        <v>97933.392356425262</v>
      </c>
      <c r="D18" s="75">
        <f t="shared" si="0"/>
        <v>1.167463898155252E-7</v>
      </c>
    </row>
    <row r="19" spans="1:4" x14ac:dyDescent="0.25">
      <c r="A19" s="10">
        <v>2003</v>
      </c>
      <c r="B19" s="2">
        <f>'[2]Export 02'!B14</f>
        <v>1736.789</v>
      </c>
      <c r="C19" s="5">
        <v>94684.582573316715</v>
      </c>
      <c r="D19" s="75">
        <f t="shared" si="0"/>
        <v>1.8342891237389778E-7</v>
      </c>
    </row>
    <row r="20" spans="1:4" x14ac:dyDescent="0.25">
      <c r="A20" s="10">
        <v>2004</v>
      </c>
      <c r="B20" s="2">
        <f>'[2]Export 02'!B15</f>
        <v>3722.8020000000001</v>
      </c>
      <c r="C20" s="5">
        <v>117074.86551527939</v>
      </c>
      <c r="D20" s="75">
        <f t="shared" si="0"/>
        <v>3.1798473426511338E-7</v>
      </c>
    </row>
    <row r="21" spans="1:4" x14ac:dyDescent="0.25">
      <c r="A21" s="10">
        <v>2005</v>
      </c>
      <c r="B21" s="2">
        <f>'[2]Export 02'!B16</f>
        <v>2617.0740000000001</v>
      </c>
      <c r="C21" s="5">
        <v>146566.26631057015</v>
      </c>
      <c r="D21" s="75">
        <f t="shared" si="0"/>
        <v>1.7855909588735021E-7</v>
      </c>
    </row>
    <row r="22" spans="1:4" x14ac:dyDescent="0.25">
      <c r="A22" s="10">
        <v>2006</v>
      </c>
      <c r="B22" s="2">
        <f>'[2]Export 02'!B17</f>
        <v>2260.576</v>
      </c>
      <c r="C22" s="5">
        <v>162590.1460964143</v>
      </c>
      <c r="D22" s="75">
        <f t="shared" si="0"/>
        <v>1.3903524009748423E-7</v>
      </c>
    </row>
    <row r="23" spans="1:4" x14ac:dyDescent="0.25">
      <c r="A23" s="10">
        <v>2007</v>
      </c>
      <c r="B23" s="2">
        <f>'[2]Export 02'!B18</f>
        <v>1929.002</v>
      </c>
      <c r="C23" s="5">
        <v>207416.49464237894</v>
      </c>
      <c r="D23" s="75">
        <f t="shared" si="0"/>
        <v>9.3001378859763556E-8</v>
      </c>
    </row>
    <row r="24" spans="1:4" x14ac:dyDescent="0.25">
      <c r="A24" s="10">
        <v>2008</v>
      </c>
      <c r="B24" s="2">
        <f>'[2]Export 02'!B19</f>
        <v>2543.1509999999998</v>
      </c>
      <c r="C24" s="5">
        <v>243982.43787084011</v>
      </c>
      <c r="D24" s="75">
        <f t="shared" si="0"/>
        <v>1.0423500241219403E-7</v>
      </c>
    </row>
    <row r="25" spans="1:4" x14ac:dyDescent="0.25">
      <c r="A25" s="10">
        <v>2009</v>
      </c>
      <c r="B25" s="2">
        <f>'[2]Export 02'!B20</f>
        <v>1629.9090000000001</v>
      </c>
      <c r="C25" s="5">
        <v>233821.6705442575</v>
      </c>
      <c r="D25" s="75">
        <f t="shared" si="0"/>
        <v>6.9707354164655691E-8</v>
      </c>
    </row>
    <row r="26" spans="1:4" x14ac:dyDescent="0.25">
      <c r="A26" s="10">
        <v>2010</v>
      </c>
      <c r="B26" s="2">
        <f>'[2]Export 02'!B21</f>
        <v>1239.7750000000001</v>
      </c>
      <c r="C26" s="5">
        <v>287018.18463752925</v>
      </c>
      <c r="D26" s="75">
        <f t="shared" si="0"/>
        <v>4.3194998308754981E-8</v>
      </c>
    </row>
    <row r="27" spans="1:4" x14ac:dyDescent="0.25">
      <c r="A27" s="10">
        <v>2011</v>
      </c>
      <c r="B27" s="2">
        <f>'[2]Export 02'!B22</f>
        <v>1556.4110000000001</v>
      </c>
      <c r="C27" s="5">
        <v>335415.15670218616</v>
      </c>
      <c r="D27" s="75">
        <f t="shared" si="0"/>
        <v>4.6402524420860664E-8</v>
      </c>
    </row>
    <row r="28" spans="1:4" x14ac:dyDescent="0.25">
      <c r="A28" s="10">
        <v>2012</v>
      </c>
      <c r="B28" s="2">
        <f>'[2]Export 02'!B23</f>
        <v>1228.972</v>
      </c>
      <c r="C28" s="5">
        <v>369659.70037551981</v>
      </c>
      <c r="D28" s="75">
        <f t="shared" si="0"/>
        <v>3.3246036794152717E-8</v>
      </c>
    </row>
    <row r="29" spans="1:4" x14ac:dyDescent="0.25">
      <c r="A29" s="10">
        <v>2013</v>
      </c>
      <c r="B29" s="2">
        <f>'[2]Export 02'!B24</f>
        <v>1314.857</v>
      </c>
      <c r="C29" s="5">
        <v>380191.88186037214</v>
      </c>
      <c r="D29" s="75">
        <f t="shared" si="0"/>
        <v>3.4584036712359088E-8</v>
      </c>
    </row>
    <row r="30" spans="1:4" x14ac:dyDescent="0.25">
      <c r="A30" s="10">
        <v>2014</v>
      </c>
      <c r="B30" s="2">
        <f>'[2]Export 02'!B25</f>
        <v>2674.6019999999999</v>
      </c>
      <c r="C30" s="5">
        <v>378416.02053371473</v>
      </c>
      <c r="D30" s="75">
        <f t="shared" si="0"/>
        <v>7.0678878664485821E-8</v>
      </c>
    </row>
    <row r="31" spans="1:4" x14ac:dyDescent="0.25">
      <c r="A31" s="11">
        <v>2015</v>
      </c>
      <c r="B31" s="2">
        <f>'[2]Export 02'!B26</f>
        <v>3160.4050000000002</v>
      </c>
      <c r="C31" s="6">
        <v>292080.15563330991</v>
      </c>
      <c r="D31" s="75">
        <f t="shared" si="0"/>
        <v>1.0820334552162146E-7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41</v>
      </c>
      <c r="C35" s="13" t="s">
        <v>9</v>
      </c>
      <c r="D35" s="14" t="s">
        <v>40</v>
      </c>
    </row>
    <row r="36" spans="1:10" x14ac:dyDescent="0.25">
      <c r="A36" s="10">
        <v>1991</v>
      </c>
      <c r="B36" s="84">
        <f>'[2]Import 02'!B2</f>
        <v>1.488518</v>
      </c>
      <c r="C36" s="5">
        <v>41239.551378248172</v>
      </c>
      <c r="D36" s="75">
        <f t="shared" ref="D36:D60" si="1">(B36/C36)/10</f>
        <v>3.6094427564144644E-6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84">
        <f>'[2]Import 02'!B3</f>
        <v>6.3081459999999998</v>
      </c>
      <c r="C37" s="5">
        <v>49279.585355094838</v>
      </c>
      <c r="D37" s="75">
        <f t="shared" si="1"/>
        <v>1.2800728647664693E-5</v>
      </c>
    </row>
    <row r="38" spans="1:10" x14ac:dyDescent="0.25">
      <c r="A38" s="10">
        <v>1993</v>
      </c>
      <c r="B38" s="84">
        <f>'[2]Import 02'!B4</f>
        <v>9.1881140000000006</v>
      </c>
      <c r="C38" s="5">
        <v>55802.540100979531</v>
      </c>
      <c r="D38" s="75">
        <f t="shared" si="1"/>
        <v>1.6465404591571121E-5</v>
      </c>
    </row>
    <row r="39" spans="1:10" x14ac:dyDescent="0.25">
      <c r="A39" s="10">
        <v>1994</v>
      </c>
      <c r="B39" s="84">
        <f>'[2]Import 02'!B5</f>
        <v>5.7732659999999996</v>
      </c>
      <c r="C39" s="5">
        <v>81703.496603993364</v>
      </c>
      <c r="D39" s="75">
        <f t="shared" si="1"/>
        <v>7.0661186362467426E-6</v>
      </c>
    </row>
    <row r="40" spans="1:10" x14ac:dyDescent="0.25">
      <c r="A40" s="10">
        <v>1995</v>
      </c>
      <c r="B40" s="84">
        <f>'[2]Import 02'!B6</f>
        <v>14.381983999999999</v>
      </c>
      <c r="C40" s="5">
        <v>92507.277798198498</v>
      </c>
      <c r="D40" s="75">
        <f t="shared" si="1"/>
        <v>1.5546867600378222E-5</v>
      </c>
    </row>
    <row r="41" spans="1:10" x14ac:dyDescent="0.25">
      <c r="A41" s="10">
        <v>1996</v>
      </c>
      <c r="B41" s="84">
        <f>'[2]Import 02'!B7</f>
        <v>9.2738960000000006</v>
      </c>
      <c r="C41" s="5">
        <v>97160.111573336981</v>
      </c>
      <c r="D41" s="75">
        <f t="shared" si="1"/>
        <v>9.5449622790933229E-6</v>
      </c>
    </row>
    <row r="42" spans="1:10" x14ac:dyDescent="0.25">
      <c r="A42" s="10">
        <v>1997</v>
      </c>
      <c r="B42" s="84">
        <f>'[2]Import 02'!B8</f>
        <v>13.991676999999999</v>
      </c>
      <c r="C42" s="5">
        <v>106659.5079635281</v>
      </c>
      <c r="D42" s="75">
        <f t="shared" si="1"/>
        <v>1.3118077578966905E-5</v>
      </c>
    </row>
    <row r="43" spans="1:10" x14ac:dyDescent="0.25">
      <c r="A43" s="10">
        <v>1998</v>
      </c>
      <c r="B43" s="84">
        <f>'[2]Import 02'!B9</f>
        <v>8.2078140000000008</v>
      </c>
      <c r="C43" s="5">
        <v>98443.743190849113</v>
      </c>
      <c r="D43" s="75">
        <f t="shared" si="1"/>
        <v>8.3375679692388639E-6</v>
      </c>
    </row>
    <row r="44" spans="1:10" x14ac:dyDescent="0.25">
      <c r="A44" s="10">
        <v>1999</v>
      </c>
      <c r="B44" s="84">
        <f>'[2]Import 02'!B10</f>
        <v>3.582703</v>
      </c>
      <c r="C44" s="5">
        <v>86186.156584381664</v>
      </c>
      <c r="D44" s="75">
        <f t="shared" si="1"/>
        <v>4.156935570612559E-6</v>
      </c>
    </row>
    <row r="45" spans="1:10" x14ac:dyDescent="0.25">
      <c r="A45" s="10">
        <v>2000</v>
      </c>
      <c r="B45" s="84">
        <f>'[2]Import 02'!B11</f>
        <v>4.2160919999999997</v>
      </c>
      <c r="C45" s="5">
        <v>99886.577575544405</v>
      </c>
      <c r="D45" s="75">
        <f t="shared" si="1"/>
        <v>4.2208794237757942E-6</v>
      </c>
    </row>
    <row r="46" spans="1:10" x14ac:dyDescent="0.25">
      <c r="A46" s="10">
        <v>2001</v>
      </c>
      <c r="B46" s="84">
        <f>'[2]Import 02'!B12</f>
        <v>3.6428370000000001</v>
      </c>
      <c r="C46" s="5">
        <v>98203.544965267793</v>
      </c>
      <c r="D46" s="75">
        <f t="shared" si="1"/>
        <v>3.7094760696147809E-6</v>
      </c>
    </row>
    <row r="47" spans="1:10" x14ac:dyDescent="0.25">
      <c r="A47" s="10">
        <v>2002</v>
      </c>
      <c r="B47" s="84">
        <f>'[2]Import 02'!B13</f>
        <v>0.99275800000000003</v>
      </c>
      <c r="C47" s="5">
        <v>97933.392356425262</v>
      </c>
      <c r="D47" s="75">
        <f t="shared" si="1"/>
        <v>1.0137073536540947E-6</v>
      </c>
    </row>
    <row r="48" spans="1:10" x14ac:dyDescent="0.25">
      <c r="A48" s="10">
        <v>2003</v>
      </c>
      <c r="B48" s="84">
        <f>'[2]Import 02'!B14</f>
        <v>1.186763</v>
      </c>
      <c r="C48" s="5">
        <v>94684.582573316715</v>
      </c>
      <c r="D48" s="75">
        <f t="shared" si="1"/>
        <v>1.2533856809064547E-6</v>
      </c>
    </row>
    <row r="49" spans="1:10" x14ac:dyDescent="0.25">
      <c r="A49" s="10">
        <v>2004</v>
      </c>
      <c r="B49" s="84">
        <f>'[2]Import 02'!B15</f>
        <v>2.2491099999999999</v>
      </c>
      <c r="C49" s="5">
        <v>117074.86551527939</v>
      </c>
      <c r="D49" s="75">
        <f t="shared" si="1"/>
        <v>1.9210869814806402E-6</v>
      </c>
    </row>
    <row r="50" spans="1:10" x14ac:dyDescent="0.25">
      <c r="A50" s="10">
        <v>2005</v>
      </c>
      <c r="B50" s="84">
        <f>'[2]Import 02'!B16</f>
        <v>3.9962680000000002</v>
      </c>
      <c r="C50" s="5">
        <v>146566.26631057015</v>
      </c>
      <c r="D50" s="75">
        <f t="shared" si="1"/>
        <v>2.7265946664234532E-6</v>
      </c>
    </row>
    <row r="51" spans="1:10" x14ac:dyDescent="0.25">
      <c r="A51" s="10">
        <v>2006</v>
      </c>
      <c r="B51" s="84">
        <f>'[2]Import 02'!B17</f>
        <v>3.2213280000000002</v>
      </c>
      <c r="C51" s="5">
        <v>162590.1460964143</v>
      </c>
      <c r="D51" s="75">
        <f t="shared" si="1"/>
        <v>1.9812565997017958E-6</v>
      </c>
    </row>
    <row r="52" spans="1:10" x14ac:dyDescent="0.25">
      <c r="A52" s="10">
        <v>2007</v>
      </c>
      <c r="B52" s="84">
        <f>'[2]Import 02'!B18</f>
        <v>4.4266769999999998</v>
      </c>
      <c r="C52" s="5">
        <v>207416.49464237894</v>
      </c>
      <c r="D52" s="75">
        <f t="shared" si="1"/>
        <v>2.1341971898774678E-6</v>
      </c>
    </row>
    <row r="53" spans="1:10" x14ac:dyDescent="0.25">
      <c r="A53" s="10">
        <v>2008</v>
      </c>
      <c r="B53" s="84">
        <f>'[2]Import 02'!B19</f>
        <v>8.3235340000000004</v>
      </c>
      <c r="C53" s="5">
        <v>243982.43787084011</v>
      </c>
      <c r="D53" s="75">
        <f t="shared" si="1"/>
        <v>3.4115299743034491E-6</v>
      </c>
    </row>
    <row r="54" spans="1:10" x14ac:dyDescent="0.25">
      <c r="A54" s="10">
        <v>2009</v>
      </c>
      <c r="B54" s="84">
        <f>'[2]Import 02'!B20</f>
        <v>3.0615399999999999</v>
      </c>
      <c r="C54" s="5">
        <v>233821.6705442575</v>
      </c>
      <c r="D54" s="75">
        <f t="shared" si="1"/>
        <v>1.3093482707884918E-6</v>
      </c>
    </row>
    <row r="55" spans="1:10" x14ac:dyDescent="0.25">
      <c r="A55" s="10">
        <v>2010</v>
      </c>
      <c r="B55" s="84">
        <f>'[2]Import 02'!B21</f>
        <v>2.009004</v>
      </c>
      <c r="C55" s="5">
        <v>287018.18463752925</v>
      </c>
      <c r="D55" s="75">
        <f t="shared" si="1"/>
        <v>6.9995704367552169E-7</v>
      </c>
    </row>
    <row r="56" spans="1:10" x14ac:dyDescent="0.25">
      <c r="A56" s="10">
        <v>2011</v>
      </c>
      <c r="B56" s="84">
        <f>'[2]Import 02'!B22</f>
        <v>3.4654319999999998</v>
      </c>
      <c r="C56" s="5">
        <v>335415.15670218616</v>
      </c>
      <c r="D56" s="75">
        <f t="shared" si="1"/>
        <v>1.0331769244038497E-6</v>
      </c>
    </row>
    <row r="57" spans="1:10" x14ac:dyDescent="0.25">
      <c r="A57" s="10">
        <v>2012</v>
      </c>
      <c r="B57" s="84">
        <f>'[2]Import 02'!B23</f>
        <v>17.508887999999999</v>
      </c>
      <c r="C57" s="5">
        <v>369659.70037551981</v>
      </c>
      <c r="D57" s="75">
        <f t="shared" si="1"/>
        <v>4.7364881760747919E-6</v>
      </c>
    </row>
    <row r="58" spans="1:10" x14ac:dyDescent="0.25">
      <c r="A58" s="10">
        <v>2013</v>
      </c>
      <c r="B58" s="84">
        <f>'[2]Import 02'!B24</f>
        <v>30.783857000000001</v>
      </c>
      <c r="C58" s="5">
        <v>380191.88186037214</v>
      </c>
      <c r="D58" s="75">
        <f t="shared" si="1"/>
        <v>8.0969264386622441E-6</v>
      </c>
    </row>
    <row r="59" spans="1:10" x14ac:dyDescent="0.25">
      <c r="A59" s="10">
        <v>2014</v>
      </c>
      <c r="B59" s="84">
        <f>'[2]Import 02'!B25</f>
        <v>51.005201999999997</v>
      </c>
      <c r="C59" s="5">
        <v>378416.02053371473</v>
      </c>
      <c r="D59" s="75">
        <f t="shared" si="1"/>
        <v>1.3478605352929481E-5</v>
      </c>
    </row>
    <row r="60" spans="1:10" x14ac:dyDescent="0.25">
      <c r="A60" s="11">
        <v>2015</v>
      </c>
      <c r="B60" s="84">
        <f>'[2]Import 02'!B26</f>
        <v>45.102443999999998</v>
      </c>
      <c r="C60" s="6">
        <v>292080.15563330991</v>
      </c>
      <c r="D60" s="75">
        <f t="shared" si="1"/>
        <v>1.54418036042899E-5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89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145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84">
        <f>'[2]Import 02'!B2</f>
        <v>1.488518</v>
      </c>
      <c r="C66" s="5">
        <v>6174.0429999999997</v>
      </c>
      <c r="D66" s="79">
        <f t="shared" ref="D66:D90" si="2">(B66/C66)/10000</f>
        <v>2.4109291107949847E-8</v>
      </c>
      <c r="E66" s="1"/>
    </row>
    <row r="67" spans="1:5" x14ac:dyDescent="0.25">
      <c r="A67" s="10">
        <v>1992</v>
      </c>
      <c r="B67" s="84">
        <f>'[2]Import 02'!B3</f>
        <v>6.3081459999999998</v>
      </c>
      <c r="C67" s="5">
        <v>6539.299</v>
      </c>
      <c r="D67" s="79">
        <f t="shared" si="2"/>
        <v>9.6465171572671626E-8</v>
      </c>
      <c r="E67" s="1"/>
    </row>
    <row r="68" spans="1:5" x14ac:dyDescent="0.25">
      <c r="A68" s="10">
        <v>1993</v>
      </c>
      <c r="B68" s="84">
        <f>'[2]Import 02'!B4</f>
        <v>9.1881140000000006</v>
      </c>
      <c r="C68" s="5">
        <v>6878.7179999999998</v>
      </c>
      <c r="D68" s="79">
        <f t="shared" si="2"/>
        <v>1.3357305823556076E-7</v>
      </c>
      <c r="E68" s="1"/>
    </row>
    <row r="69" spans="1:5" x14ac:dyDescent="0.25">
      <c r="A69" s="10">
        <v>1994</v>
      </c>
      <c r="B69" s="84">
        <f>'[2]Import 02'!B5</f>
        <v>5.7732659999999996</v>
      </c>
      <c r="C69" s="5">
        <v>7308.7550000000001</v>
      </c>
      <c r="D69" s="79">
        <f t="shared" si="2"/>
        <v>7.8991100399452441E-8</v>
      </c>
      <c r="E69" s="1"/>
    </row>
    <row r="70" spans="1:5" x14ac:dyDescent="0.25">
      <c r="A70" s="10">
        <v>1995</v>
      </c>
      <c r="B70" s="84">
        <f>'[2]Import 02'!B6</f>
        <v>14.381983999999999</v>
      </c>
      <c r="C70" s="5">
        <v>7664.06</v>
      </c>
      <c r="D70" s="79">
        <f t="shared" si="2"/>
        <v>1.8765489831760188E-7</v>
      </c>
      <c r="E70" s="1"/>
    </row>
    <row r="71" spans="1:5" x14ac:dyDescent="0.25">
      <c r="A71" s="10">
        <v>1996</v>
      </c>
      <c r="B71" s="84">
        <f>'[2]Import 02'!B7</f>
        <v>9.2738960000000006</v>
      </c>
      <c r="C71" s="5">
        <v>8100.201</v>
      </c>
      <c r="D71" s="79">
        <f t="shared" si="2"/>
        <v>1.1448970216911903E-7</v>
      </c>
      <c r="E71" s="1"/>
    </row>
    <row r="72" spans="1:5" x14ac:dyDescent="0.25">
      <c r="A72" s="10">
        <v>1997</v>
      </c>
      <c r="B72" s="84">
        <f>'[2]Import 02'!B8</f>
        <v>13.991676999999999</v>
      </c>
      <c r="C72" s="5">
        <v>8608.5149999999994</v>
      </c>
      <c r="D72" s="79">
        <f t="shared" si="2"/>
        <v>1.6253299204334314E-7</v>
      </c>
      <c r="E72" s="1"/>
    </row>
    <row r="73" spans="1:5" x14ac:dyDescent="0.25">
      <c r="A73" s="10">
        <v>1998</v>
      </c>
      <c r="B73" s="84">
        <f>'[2]Import 02'!B9</f>
        <v>8.2078140000000008</v>
      </c>
      <c r="C73" s="5">
        <v>9089.1679999999997</v>
      </c>
      <c r="D73" s="79">
        <f t="shared" si="2"/>
        <v>9.0303248878225171E-8</v>
      </c>
      <c r="E73" s="1"/>
    </row>
    <row r="74" spans="1:5" x14ac:dyDescent="0.25">
      <c r="A74" s="10">
        <v>1999</v>
      </c>
      <c r="B74" s="84">
        <f>'[2]Import 02'!B10</f>
        <v>3.582703</v>
      </c>
      <c r="C74" s="5">
        <v>9660.6239999999998</v>
      </c>
      <c r="D74" s="79">
        <f t="shared" si="2"/>
        <v>3.7085627181018533E-8</v>
      </c>
      <c r="E74" s="1"/>
    </row>
    <row r="75" spans="1:5" x14ac:dyDescent="0.25">
      <c r="A75" s="10">
        <v>2000</v>
      </c>
      <c r="B75" s="84">
        <f>'[2]Import 02'!B11</f>
        <v>4.2160919999999997</v>
      </c>
      <c r="C75" s="5">
        <v>10284.779</v>
      </c>
      <c r="D75" s="79">
        <f t="shared" si="2"/>
        <v>4.0993510896053284E-8</v>
      </c>
      <c r="E75" s="1"/>
    </row>
    <row r="76" spans="1:5" x14ac:dyDescent="0.25">
      <c r="A76" s="10">
        <v>2001</v>
      </c>
      <c r="B76" s="84">
        <f>'[2]Import 02'!B12</f>
        <v>3.6428370000000001</v>
      </c>
      <c r="C76" s="5">
        <v>10621.824000000001</v>
      </c>
      <c r="D76" s="79">
        <f t="shared" si="2"/>
        <v>3.4295776318643577E-8</v>
      </c>
      <c r="E76" s="1"/>
    </row>
    <row r="77" spans="1:5" x14ac:dyDescent="0.25">
      <c r="A77" s="10">
        <v>2002</v>
      </c>
      <c r="B77" s="84">
        <f>'[2]Import 02'!B13</f>
        <v>0.99275800000000003</v>
      </c>
      <c r="C77" s="5">
        <v>10977.513999999999</v>
      </c>
      <c r="D77" s="79">
        <f t="shared" si="2"/>
        <v>9.0435594069841324E-9</v>
      </c>
      <c r="E77" s="1"/>
    </row>
    <row r="78" spans="1:5" x14ac:dyDescent="0.25">
      <c r="A78" s="10">
        <v>2003</v>
      </c>
      <c r="B78" s="84">
        <f>'[2]Import 02'!B14</f>
        <v>1.186763</v>
      </c>
      <c r="C78" s="5">
        <v>11510.67</v>
      </c>
      <c r="D78" s="79">
        <f t="shared" si="2"/>
        <v>1.0310112269746245E-8</v>
      </c>
      <c r="E78" s="1"/>
    </row>
    <row r="79" spans="1:5" x14ac:dyDescent="0.25">
      <c r="A79" s="10">
        <v>2004</v>
      </c>
      <c r="B79" s="84">
        <f>'[2]Import 02'!B15</f>
        <v>2.2491099999999999</v>
      </c>
      <c r="C79" s="5">
        <v>12274.928</v>
      </c>
      <c r="D79" s="79">
        <f t="shared" si="2"/>
        <v>1.8322795864871877E-8</v>
      </c>
      <c r="E79" s="1"/>
    </row>
    <row r="80" spans="1:5" x14ac:dyDescent="0.25">
      <c r="A80" s="10">
        <v>2005</v>
      </c>
      <c r="B80" s="84">
        <f>'[2]Import 02'!B16</f>
        <v>3.9962680000000002</v>
      </c>
      <c r="C80" s="5">
        <v>13093.726000000001</v>
      </c>
      <c r="D80" s="79">
        <f t="shared" si="2"/>
        <v>3.0520479808421223E-8</v>
      </c>
      <c r="E80" s="1"/>
    </row>
    <row r="81" spans="1:10" x14ac:dyDescent="0.25">
      <c r="A81" s="10">
        <v>2006</v>
      </c>
      <c r="B81" s="84">
        <f>'[2]Import 02'!B17</f>
        <v>3.2213280000000002</v>
      </c>
      <c r="C81" s="5">
        <v>13855.888000000001</v>
      </c>
      <c r="D81" s="79">
        <f t="shared" si="2"/>
        <v>2.3248802242050453E-8</v>
      </c>
      <c r="E81" s="1"/>
    </row>
    <row r="82" spans="1:10" x14ac:dyDescent="0.25">
      <c r="A82" s="10">
        <v>2007</v>
      </c>
      <c r="B82" s="84">
        <f>'[2]Import 02'!B18</f>
        <v>4.4266769999999998</v>
      </c>
      <c r="C82" s="5">
        <v>14477.635</v>
      </c>
      <c r="D82" s="79">
        <f t="shared" si="2"/>
        <v>3.0575967690855578E-8</v>
      </c>
      <c r="E82" s="1"/>
    </row>
    <row r="83" spans="1:10" x14ac:dyDescent="0.25">
      <c r="A83" s="10">
        <v>2008</v>
      </c>
      <c r="B83" s="84">
        <f>'[2]Import 02'!B19</f>
        <v>8.3235340000000004</v>
      </c>
      <c r="C83" s="5">
        <v>14718.582</v>
      </c>
      <c r="D83" s="79">
        <f t="shared" si="2"/>
        <v>5.6551194945273943E-8</v>
      </c>
      <c r="E83" s="1"/>
    </row>
    <row r="84" spans="1:10" x14ac:dyDescent="0.25">
      <c r="A84" s="10">
        <v>2009</v>
      </c>
      <c r="B84" s="84">
        <f>'[2]Import 02'!B20</f>
        <v>3.0615399999999999</v>
      </c>
      <c r="C84" s="5">
        <v>14418.739</v>
      </c>
      <c r="D84" s="79">
        <f t="shared" si="2"/>
        <v>2.123306344611689E-8</v>
      </c>
      <c r="E84" s="1"/>
    </row>
    <row r="85" spans="1:10" x14ac:dyDescent="0.25">
      <c r="A85" s="10">
        <v>2010</v>
      </c>
      <c r="B85" s="84">
        <f>'[2]Import 02'!B21</f>
        <v>2.009004</v>
      </c>
      <c r="C85" s="5">
        <v>14964.371999999999</v>
      </c>
      <c r="D85" s="79">
        <f t="shared" si="2"/>
        <v>1.3425247648214037E-8</v>
      </c>
      <c r="E85" s="1"/>
    </row>
    <row r="86" spans="1:10" x14ac:dyDescent="0.25">
      <c r="A86" s="10">
        <v>2011</v>
      </c>
      <c r="B86" s="84">
        <f>'[2]Import 02'!B22</f>
        <v>3.4654319999999998</v>
      </c>
      <c r="C86" s="5">
        <v>15517.925999999999</v>
      </c>
      <c r="D86" s="79">
        <f t="shared" si="2"/>
        <v>2.2331798721040429E-8</v>
      </c>
      <c r="E86" s="1"/>
    </row>
    <row r="87" spans="1:10" x14ac:dyDescent="0.25">
      <c r="A87" s="10">
        <v>2012</v>
      </c>
      <c r="B87" s="84">
        <f>'[2]Import 02'!B23</f>
        <v>17.508887999999999</v>
      </c>
      <c r="C87" s="5">
        <v>16155.254999999999</v>
      </c>
      <c r="D87" s="79">
        <f t="shared" si="2"/>
        <v>1.0837890209718138E-7</v>
      </c>
      <c r="E87" s="1"/>
    </row>
    <row r="88" spans="1:10" x14ac:dyDescent="0.25">
      <c r="A88" s="10">
        <v>2013</v>
      </c>
      <c r="B88" s="84">
        <f>'[2]Import 02'!B24</f>
        <v>30.783857000000001</v>
      </c>
      <c r="C88" s="5">
        <v>16663.16</v>
      </c>
      <c r="D88" s="79">
        <f t="shared" si="2"/>
        <v>1.8474201171926574E-7</v>
      </c>
      <c r="E88" s="1"/>
    </row>
    <row r="89" spans="1:10" x14ac:dyDescent="0.25">
      <c r="A89" s="10">
        <v>2014</v>
      </c>
      <c r="B89" s="84">
        <f>'[2]Import 02'!B25</f>
        <v>51.005201999999997</v>
      </c>
      <c r="C89" s="5">
        <v>17348.071499999998</v>
      </c>
      <c r="D89" s="79">
        <f t="shared" si="2"/>
        <v>2.9401078961428076E-7</v>
      </c>
      <c r="E89" s="1"/>
    </row>
    <row r="90" spans="1:10" x14ac:dyDescent="0.25">
      <c r="A90" s="11">
        <v>2015</v>
      </c>
      <c r="B90" s="84">
        <f>'[2]Import 02'!B26</f>
        <v>45.102443999999998</v>
      </c>
      <c r="C90" s="5">
        <v>17946.995999999999</v>
      </c>
      <c r="D90" s="79">
        <f t="shared" si="2"/>
        <v>2.5130915502516408E-7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45" x14ac:dyDescent="0.25">
      <c r="A95" s="12" t="s">
        <v>3</v>
      </c>
      <c r="B95" s="13" t="s">
        <v>146</v>
      </c>
      <c r="C95" s="13" t="s">
        <v>7</v>
      </c>
      <c r="D95" s="14" t="s">
        <v>43</v>
      </c>
    </row>
    <row r="96" spans="1:10" x14ac:dyDescent="0.25">
      <c r="A96" s="10">
        <v>1991</v>
      </c>
      <c r="B96" s="2">
        <f t="shared" ref="B96:B120" si="3">B7</f>
        <v>193.2</v>
      </c>
      <c r="C96" s="5">
        <v>6174.0429999999997</v>
      </c>
      <c r="D96" s="79">
        <f t="shared" ref="D96:D120" si="4">(B96/C96)/10000000</f>
        <v>3.1292299065620374E-9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>
        <f t="shared" si="3"/>
        <v>98.457999999999998</v>
      </c>
      <c r="C97" s="5">
        <v>6539.299</v>
      </c>
      <c r="D97" s="79">
        <f t="shared" si="4"/>
        <v>1.5056353899706987E-9</v>
      </c>
    </row>
    <row r="98" spans="1:4" x14ac:dyDescent="0.25">
      <c r="A98" s="10">
        <v>1993</v>
      </c>
      <c r="B98" s="2">
        <f t="shared" si="3"/>
        <v>189.28800000000001</v>
      </c>
      <c r="C98" s="5">
        <v>6878.7179999999998</v>
      </c>
      <c r="D98" s="79">
        <f t="shared" si="4"/>
        <v>2.7517918309778075E-9</v>
      </c>
    </row>
    <row r="99" spans="1:4" x14ac:dyDescent="0.25">
      <c r="A99" s="10">
        <v>1994</v>
      </c>
      <c r="B99" s="2">
        <f t="shared" si="3"/>
        <v>181.245</v>
      </c>
      <c r="C99" s="5">
        <v>7308.7550000000001</v>
      </c>
      <c r="D99" s="79">
        <f t="shared" si="4"/>
        <v>2.4798341167544951E-9</v>
      </c>
    </row>
    <row r="100" spans="1:4" x14ac:dyDescent="0.25">
      <c r="A100" s="10">
        <v>1995</v>
      </c>
      <c r="B100" s="2">
        <f t="shared" si="3"/>
        <v>318.63600000000002</v>
      </c>
      <c r="C100" s="5">
        <v>7664.06</v>
      </c>
      <c r="D100" s="79">
        <f t="shared" si="4"/>
        <v>4.1575353011328196E-9</v>
      </c>
    </row>
    <row r="101" spans="1:4" x14ac:dyDescent="0.25">
      <c r="A101" s="10">
        <v>1996</v>
      </c>
      <c r="B101" s="2">
        <f t="shared" si="3"/>
        <v>186.023</v>
      </c>
      <c r="C101" s="5">
        <v>8100.201</v>
      </c>
      <c r="D101" s="79">
        <f t="shared" si="4"/>
        <v>2.2965232591141875E-9</v>
      </c>
    </row>
    <row r="102" spans="1:4" x14ac:dyDescent="0.25">
      <c r="A102" s="10">
        <v>1997</v>
      </c>
      <c r="B102" s="2">
        <f t="shared" si="3"/>
        <v>299.63900000000001</v>
      </c>
      <c r="C102" s="5">
        <v>8608.5149999999994</v>
      </c>
      <c r="D102" s="79">
        <f t="shared" si="4"/>
        <v>3.480728093056701E-9</v>
      </c>
    </row>
    <row r="103" spans="1:4" x14ac:dyDescent="0.25">
      <c r="A103" s="10">
        <v>1998</v>
      </c>
      <c r="B103" s="2">
        <f t="shared" si="3"/>
        <v>229.15799999999999</v>
      </c>
      <c r="C103" s="5">
        <v>9089.1679999999997</v>
      </c>
      <c r="D103" s="79">
        <f t="shared" si="4"/>
        <v>2.5212208642199155E-9</v>
      </c>
    </row>
    <row r="104" spans="1:4" x14ac:dyDescent="0.25">
      <c r="A104" s="10">
        <v>1999</v>
      </c>
      <c r="B104" s="2">
        <f t="shared" si="3"/>
        <v>48.418999999999997</v>
      </c>
      <c r="C104" s="5">
        <v>9660.6239999999998</v>
      </c>
      <c r="D104" s="79">
        <f t="shared" si="4"/>
        <v>5.011995084375502E-10</v>
      </c>
    </row>
    <row r="105" spans="1:4" x14ac:dyDescent="0.25">
      <c r="A105" s="10">
        <v>2000</v>
      </c>
      <c r="B105" s="2">
        <f t="shared" si="3"/>
        <v>130.333</v>
      </c>
      <c r="C105" s="5">
        <v>10284.779</v>
      </c>
      <c r="D105" s="79">
        <f t="shared" si="4"/>
        <v>1.2672416198734069E-9</v>
      </c>
    </row>
    <row r="106" spans="1:4" x14ac:dyDescent="0.25">
      <c r="A106" s="10">
        <v>2001</v>
      </c>
      <c r="B106" s="2">
        <f t="shared" si="3"/>
        <v>44.466000000000001</v>
      </c>
      <c r="C106" s="5">
        <v>10621.824000000001</v>
      </c>
      <c r="D106" s="79">
        <f t="shared" si="4"/>
        <v>4.1862866490727019E-10</v>
      </c>
    </row>
    <row r="107" spans="1:4" x14ac:dyDescent="0.25">
      <c r="A107" s="10">
        <v>2002</v>
      </c>
      <c r="B107" s="2">
        <f t="shared" si="3"/>
        <v>1143.337</v>
      </c>
      <c r="C107" s="5">
        <v>10977.513999999999</v>
      </c>
      <c r="D107" s="79">
        <f t="shared" si="4"/>
        <v>1.0415263419386211E-8</v>
      </c>
    </row>
    <row r="108" spans="1:4" x14ac:dyDescent="0.25">
      <c r="A108" s="10">
        <v>2003</v>
      </c>
      <c r="B108" s="2">
        <f t="shared" si="3"/>
        <v>1736.789</v>
      </c>
      <c r="C108" s="5">
        <v>11510.67</v>
      </c>
      <c r="D108" s="79">
        <f t="shared" si="4"/>
        <v>1.50885135270145E-8</v>
      </c>
    </row>
    <row r="109" spans="1:4" x14ac:dyDescent="0.25">
      <c r="A109" s="10">
        <v>2004</v>
      </c>
      <c r="B109" s="2">
        <f t="shared" si="3"/>
        <v>3722.8020000000001</v>
      </c>
      <c r="C109" s="5">
        <v>12274.928</v>
      </c>
      <c r="D109" s="79">
        <f t="shared" si="4"/>
        <v>3.0328503759859119E-8</v>
      </c>
    </row>
    <row r="110" spans="1:4" x14ac:dyDescent="0.25">
      <c r="A110" s="10">
        <v>2005</v>
      </c>
      <c r="B110" s="2">
        <f t="shared" si="3"/>
        <v>2617.0740000000001</v>
      </c>
      <c r="C110" s="5">
        <v>13093.726000000001</v>
      </c>
      <c r="D110" s="79">
        <f t="shared" si="4"/>
        <v>1.9987236635316792E-8</v>
      </c>
    </row>
    <row r="111" spans="1:4" x14ac:dyDescent="0.25">
      <c r="A111" s="10">
        <v>2006</v>
      </c>
      <c r="B111" s="2">
        <f t="shared" si="3"/>
        <v>2260.576</v>
      </c>
      <c r="C111" s="5">
        <v>13855.888000000001</v>
      </c>
      <c r="D111" s="79">
        <f t="shared" si="4"/>
        <v>1.6314912476197843E-8</v>
      </c>
    </row>
    <row r="112" spans="1:4" x14ac:dyDescent="0.25">
      <c r="A112" s="10">
        <v>2007</v>
      </c>
      <c r="B112" s="2">
        <f t="shared" si="3"/>
        <v>1929.002</v>
      </c>
      <c r="C112" s="5">
        <v>14477.635</v>
      </c>
      <c r="D112" s="79">
        <f t="shared" si="4"/>
        <v>1.3324013210721225E-8</v>
      </c>
    </row>
    <row r="113" spans="1:10" x14ac:dyDescent="0.25">
      <c r="A113" s="10">
        <v>2008</v>
      </c>
      <c r="B113" s="2">
        <f t="shared" si="3"/>
        <v>2543.1509999999998</v>
      </c>
      <c r="C113" s="5">
        <v>14718.582</v>
      </c>
      <c r="D113" s="79">
        <f t="shared" si="4"/>
        <v>1.7278505497336629E-8</v>
      </c>
    </row>
    <row r="114" spans="1:10" x14ac:dyDescent="0.25">
      <c r="A114" s="10">
        <v>2009</v>
      </c>
      <c r="B114" s="2">
        <f t="shared" si="3"/>
        <v>1629.9090000000001</v>
      </c>
      <c r="C114" s="5">
        <v>14418.739</v>
      </c>
      <c r="D114" s="79">
        <f t="shared" si="4"/>
        <v>1.1304102251937567E-8</v>
      </c>
    </row>
    <row r="115" spans="1:10" x14ac:dyDescent="0.25">
      <c r="A115" s="10">
        <v>2010</v>
      </c>
      <c r="B115" s="2">
        <f t="shared" si="3"/>
        <v>1239.7750000000001</v>
      </c>
      <c r="C115" s="5">
        <v>14964.371999999999</v>
      </c>
      <c r="D115" s="79">
        <f t="shared" si="4"/>
        <v>8.2848448301071388E-9</v>
      </c>
    </row>
    <row r="116" spans="1:10" x14ac:dyDescent="0.25">
      <c r="A116" s="10">
        <v>2011</v>
      </c>
      <c r="B116" s="2">
        <f t="shared" si="3"/>
        <v>1556.4110000000001</v>
      </c>
      <c r="C116" s="5">
        <v>15517.925999999999</v>
      </c>
      <c r="D116" s="79">
        <f t="shared" si="4"/>
        <v>1.0029761709135617E-8</v>
      </c>
    </row>
    <row r="117" spans="1:10" x14ac:dyDescent="0.25">
      <c r="A117" s="10">
        <v>2012</v>
      </c>
      <c r="B117" s="2">
        <f t="shared" si="3"/>
        <v>1228.972</v>
      </c>
      <c r="C117" s="5">
        <v>16155.254999999999</v>
      </c>
      <c r="D117" s="79">
        <f t="shared" si="4"/>
        <v>7.6072584431505413E-9</v>
      </c>
    </row>
    <row r="118" spans="1:10" x14ac:dyDescent="0.25">
      <c r="A118" s="10">
        <v>2013</v>
      </c>
      <c r="B118" s="2">
        <f t="shared" si="3"/>
        <v>1314.857</v>
      </c>
      <c r="C118" s="5">
        <v>16663.16</v>
      </c>
      <c r="D118" s="79">
        <f t="shared" si="4"/>
        <v>7.8908022247880941E-9</v>
      </c>
    </row>
    <row r="119" spans="1:10" x14ac:dyDescent="0.25">
      <c r="A119" s="10">
        <v>2014</v>
      </c>
      <c r="B119" s="2">
        <f t="shared" si="3"/>
        <v>2674.6019999999999</v>
      </c>
      <c r="C119" s="5">
        <v>17348.071499999998</v>
      </c>
      <c r="D119" s="79">
        <f t="shared" si="4"/>
        <v>1.5417287160708326E-8</v>
      </c>
    </row>
    <row r="120" spans="1:10" x14ac:dyDescent="0.25">
      <c r="A120" s="11">
        <v>2015</v>
      </c>
      <c r="B120" s="2">
        <f t="shared" si="3"/>
        <v>3160.4050000000002</v>
      </c>
      <c r="C120" s="5">
        <v>17946.995999999999</v>
      </c>
      <c r="D120" s="79">
        <f t="shared" si="4"/>
        <v>1.7609660134765732E-8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147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80">
        <f t="shared" ref="B125:B149" si="5">(B7/1000)+B36</f>
        <v>1.681718</v>
      </c>
      <c r="C125" s="5">
        <v>41239.551378248201</v>
      </c>
      <c r="D125" s="19">
        <f t="shared" ref="D125:D149" si="6">(B125/C125)/10</f>
        <v>4.0779250593085308E-6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80">
        <f t="shared" si="5"/>
        <v>6.4066039999999997</v>
      </c>
      <c r="C126" s="5">
        <v>49279.585355094838</v>
      </c>
      <c r="D126" s="19">
        <f t="shared" si="6"/>
        <v>1.3000523348229927E-5</v>
      </c>
      <c r="I126" s="42"/>
    </row>
    <row r="127" spans="1:10" x14ac:dyDescent="0.25">
      <c r="A127" s="10">
        <v>1993</v>
      </c>
      <c r="B127" s="80">
        <f t="shared" si="5"/>
        <v>9.377402</v>
      </c>
      <c r="C127" s="5">
        <v>55802.540100979531</v>
      </c>
      <c r="D127" s="19">
        <f t="shared" si="6"/>
        <v>1.680461495665032E-5</v>
      </c>
    </row>
    <row r="128" spans="1:10" x14ac:dyDescent="0.25">
      <c r="A128" s="10">
        <v>1994</v>
      </c>
      <c r="B128" s="80">
        <f t="shared" si="5"/>
        <v>5.9545109999999992</v>
      </c>
      <c r="C128" s="5">
        <v>81703.496603993364</v>
      </c>
      <c r="D128" s="19">
        <f t="shared" si="6"/>
        <v>7.2879512474977295E-6</v>
      </c>
    </row>
    <row r="129" spans="1:4" x14ac:dyDescent="0.25">
      <c r="A129" s="10">
        <v>1995</v>
      </c>
      <c r="B129" s="80">
        <f t="shared" si="5"/>
        <v>14.700619999999999</v>
      </c>
      <c r="C129" s="5">
        <v>92507.277798198498</v>
      </c>
      <c r="D129" s="19">
        <f t="shared" si="6"/>
        <v>1.5891311851234998E-5</v>
      </c>
    </row>
    <row r="130" spans="1:4" x14ac:dyDescent="0.25">
      <c r="A130" s="10">
        <v>1996</v>
      </c>
      <c r="B130" s="80">
        <f t="shared" si="5"/>
        <v>9.4599190000000011</v>
      </c>
      <c r="C130" s="5">
        <v>97160.111573336981</v>
      </c>
      <c r="D130" s="19">
        <f t="shared" si="6"/>
        <v>9.7364225367934074E-6</v>
      </c>
    </row>
    <row r="131" spans="1:4" x14ac:dyDescent="0.25">
      <c r="A131" s="10">
        <v>1997</v>
      </c>
      <c r="B131" s="80">
        <f t="shared" si="5"/>
        <v>14.291315999999998</v>
      </c>
      <c r="C131" s="5">
        <v>106659.5079635281</v>
      </c>
      <c r="D131" s="19">
        <f t="shared" si="6"/>
        <v>1.3399007995505538E-5</v>
      </c>
    </row>
    <row r="132" spans="1:4" x14ac:dyDescent="0.25">
      <c r="A132" s="10">
        <v>1998</v>
      </c>
      <c r="B132" s="80">
        <f t="shared" si="5"/>
        <v>8.4369720000000008</v>
      </c>
      <c r="C132" s="5">
        <v>98443.743190849113</v>
      </c>
      <c r="D132" s="19">
        <f t="shared" si="6"/>
        <v>8.5703486341875144E-6</v>
      </c>
    </row>
    <row r="133" spans="1:4" x14ac:dyDescent="0.25">
      <c r="A133" s="10">
        <v>1999</v>
      </c>
      <c r="B133" s="80">
        <f t="shared" si="5"/>
        <v>3.631122</v>
      </c>
      <c r="C133" s="5">
        <v>86186.156584381664</v>
      </c>
      <c r="D133" s="19">
        <f t="shared" si="6"/>
        <v>4.2131151264935496E-6</v>
      </c>
    </row>
    <row r="134" spans="1:4" x14ac:dyDescent="0.25">
      <c r="A134" s="10">
        <v>2000</v>
      </c>
      <c r="B134" s="80">
        <f t="shared" si="5"/>
        <v>4.346425</v>
      </c>
      <c r="C134" s="5">
        <v>99886.577575544405</v>
      </c>
      <c r="D134" s="19">
        <f t="shared" si="6"/>
        <v>4.3513604184834446E-6</v>
      </c>
    </row>
    <row r="135" spans="1:4" x14ac:dyDescent="0.25">
      <c r="A135" s="10">
        <v>2001</v>
      </c>
      <c r="B135" s="80">
        <f t="shared" si="5"/>
        <v>3.687303</v>
      </c>
      <c r="C135" s="5">
        <v>98203.544965267793</v>
      </c>
      <c r="D135" s="19">
        <f t="shared" si="6"/>
        <v>3.7547554941159302E-6</v>
      </c>
    </row>
    <row r="136" spans="1:4" x14ac:dyDescent="0.25">
      <c r="A136" s="10">
        <v>2002</v>
      </c>
      <c r="B136" s="80">
        <f t="shared" si="5"/>
        <v>2.1360950000000001</v>
      </c>
      <c r="C136" s="5">
        <v>97933.392356425305</v>
      </c>
      <c r="D136" s="19">
        <f t="shared" si="6"/>
        <v>2.1811712518093459E-6</v>
      </c>
    </row>
    <row r="137" spans="1:4" x14ac:dyDescent="0.25">
      <c r="A137" s="10">
        <v>2003</v>
      </c>
      <c r="B137" s="80">
        <f t="shared" si="5"/>
        <v>2.9235519999999999</v>
      </c>
      <c r="C137" s="5">
        <v>94684.582573316715</v>
      </c>
      <c r="D137" s="19">
        <f t="shared" si="6"/>
        <v>3.0876748046454321E-6</v>
      </c>
    </row>
    <row r="138" spans="1:4" x14ac:dyDescent="0.25">
      <c r="A138" s="10">
        <v>2004</v>
      </c>
      <c r="B138" s="80">
        <f t="shared" si="5"/>
        <v>5.9719119999999997</v>
      </c>
      <c r="C138" s="5">
        <v>117074.86551527939</v>
      </c>
      <c r="D138" s="19">
        <f t="shared" si="6"/>
        <v>5.1009343241317731E-6</v>
      </c>
    </row>
    <row r="139" spans="1:4" x14ac:dyDescent="0.25">
      <c r="A139" s="10">
        <v>2005</v>
      </c>
      <c r="B139" s="80">
        <f t="shared" si="5"/>
        <v>6.6133420000000003</v>
      </c>
      <c r="C139" s="5">
        <v>146566.26631057015</v>
      </c>
      <c r="D139" s="19">
        <f t="shared" si="6"/>
        <v>4.512185625296955E-6</v>
      </c>
    </row>
    <row r="140" spans="1:4" x14ac:dyDescent="0.25">
      <c r="A140" s="10">
        <v>2006</v>
      </c>
      <c r="B140" s="80">
        <f t="shared" si="5"/>
        <v>5.4819040000000001</v>
      </c>
      <c r="C140" s="5">
        <v>162590.1460964143</v>
      </c>
      <c r="D140" s="19">
        <f t="shared" si="6"/>
        <v>3.3716090006766375E-6</v>
      </c>
    </row>
    <row r="141" spans="1:4" x14ac:dyDescent="0.25">
      <c r="A141" s="10">
        <v>2007</v>
      </c>
      <c r="B141" s="80">
        <f t="shared" si="5"/>
        <v>6.3556789999999994</v>
      </c>
      <c r="C141" s="5">
        <v>207416.49464237894</v>
      </c>
      <c r="D141" s="19">
        <f t="shared" si="6"/>
        <v>3.0642109784751029E-6</v>
      </c>
    </row>
    <row r="142" spans="1:4" x14ac:dyDescent="0.25">
      <c r="A142" s="10">
        <v>2008</v>
      </c>
      <c r="B142" s="80">
        <f t="shared" si="5"/>
        <v>10.866685</v>
      </c>
      <c r="C142" s="5">
        <v>243982.43787084011</v>
      </c>
      <c r="D142" s="19">
        <f t="shared" si="6"/>
        <v>4.4538799984253896E-6</v>
      </c>
    </row>
    <row r="143" spans="1:4" x14ac:dyDescent="0.25">
      <c r="A143" s="10">
        <v>2009</v>
      </c>
      <c r="B143" s="80">
        <f t="shared" si="5"/>
        <v>4.6914490000000004</v>
      </c>
      <c r="C143" s="5">
        <v>233821.6705442575</v>
      </c>
      <c r="D143" s="19">
        <f t="shared" si="6"/>
        <v>2.0064218124350491E-6</v>
      </c>
    </row>
    <row r="144" spans="1:4" x14ac:dyDescent="0.25">
      <c r="A144" s="10">
        <v>2010</v>
      </c>
      <c r="B144" s="80">
        <f t="shared" si="5"/>
        <v>3.2487789999999999</v>
      </c>
      <c r="C144" s="5">
        <v>287018.18463752925</v>
      </c>
      <c r="D144" s="19">
        <f t="shared" si="6"/>
        <v>1.1319070267630712E-6</v>
      </c>
    </row>
    <row r="145" spans="1:10" x14ac:dyDescent="0.25">
      <c r="A145" s="10">
        <v>2011</v>
      </c>
      <c r="B145" s="80">
        <f t="shared" si="5"/>
        <v>5.0218429999999996</v>
      </c>
      <c r="C145" s="5">
        <v>335415.15670218616</v>
      </c>
      <c r="D145" s="19">
        <f t="shared" si="6"/>
        <v>1.4972021686124561E-6</v>
      </c>
    </row>
    <row r="146" spans="1:10" x14ac:dyDescent="0.25">
      <c r="A146" s="10">
        <v>2012</v>
      </c>
      <c r="B146" s="80">
        <f t="shared" si="5"/>
        <v>18.737859999999998</v>
      </c>
      <c r="C146" s="5">
        <v>369659.70037551981</v>
      </c>
      <c r="D146" s="19">
        <f t="shared" si="6"/>
        <v>5.0689485440163187E-6</v>
      </c>
    </row>
    <row r="147" spans="1:10" x14ac:dyDescent="0.25">
      <c r="A147" s="10">
        <v>2013</v>
      </c>
      <c r="B147" s="80">
        <f t="shared" si="5"/>
        <v>32.098714000000001</v>
      </c>
      <c r="C147" s="5">
        <v>380191.88186037214</v>
      </c>
      <c r="D147" s="19">
        <f t="shared" si="6"/>
        <v>8.4427668057858361E-6</v>
      </c>
    </row>
    <row r="148" spans="1:10" x14ac:dyDescent="0.25">
      <c r="A148" s="10">
        <v>2014</v>
      </c>
      <c r="B148" s="80">
        <f t="shared" si="5"/>
        <v>53.679803999999997</v>
      </c>
      <c r="C148" s="5">
        <v>378416.02053371473</v>
      </c>
      <c r="D148" s="19">
        <f t="shared" si="6"/>
        <v>1.418539413957434E-5</v>
      </c>
    </row>
    <row r="149" spans="1:10" x14ac:dyDescent="0.25">
      <c r="A149" s="11">
        <v>2015</v>
      </c>
      <c r="B149" s="80">
        <f t="shared" si="5"/>
        <v>48.262848999999996</v>
      </c>
      <c r="C149" s="6">
        <v>292080.15563330991</v>
      </c>
      <c r="D149" s="19">
        <f t="shared" si="6"/>
        <v>1.6523837059506111E-5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45" x14ac:dyDescent="0.25">
      <c r="A153" s="12" t="s">
        <v>3</v>
      </c>
      <c r="B153" s="13" t="s">
        <v>148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80">
        <f>B125</f>
        <v>1.681718</v>
      </c>
      <c r="C154" s="5">
        <v>6174.0429999999997</v>
      </c>
      <c r="D154" s="41">
        <f t="shared" ref="D154:D178" si="7">(B154/C154)/10000</f>
        <v>2.7238521014511884E-8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80">
        <f t="shared" ref="B155:B178" si="8">B126</f>
        <v>6.4066039999999997</v>
      </c>
      <c r="C155" s="5">
        <v>6539.299</v>
      </c>
      <c r="D155" s="41">
        <f t="shared" si="7"/>
        <v>9.7970806962642326E-8</v>
      </c>
    </row>
    <row r="156" spans="1:10" x14ac:dyDescent="0.25">
      <c r="A156" s="10">
        <v>1993</v>
      </c>
      <c r="B156" s="80">
        <f t="shared" si="8"/>
        <v>9.377402</v>
      </c>
      <c r="C156" s="5">
        <v>6878.7179999999998</v>
      </c>
      <c r="D156" s="41">
        <f t="shared" si="7"/>
        <v>1.3632485006653858E-7</v>
      </c>
    </row>
    <row r="157" spans="1:10" x14ac:dyDescent="0.25">
      <c r="A157" s="10">
        <v>1994</v>
      </c>
      <c r="B157" s="80">
        <f t="shared" si="8"/>
        <v>5.9545109999999992</v>
      </c>
      <c r="C157" s="5">
        <v>7308.7550000000001</v>
      </c>
      <c r="D157" s="41">
        <f t="shared" si="7"/>
        <v>8.1470934516206919E-8</v>
      </c>
    </row>
    <row r="158" spans="1:10" x14ac:dyDescent="0.25">
      <c r="A158" s="10">
        <v>1995</v>
      </c>
      <c r="B158" s="80">
        <f t="shared" si="8"/>
        <v>14.700619999999999</v>
      </c>
      <c r="C158" s="5">
        <v>7664.06</v>
      </c>
      <c r="D158" s="41">
        <f t="shared" si="7"/>
        <v>1.9181243361873468E-7</v>
      </c>
    </row>
    <row r="159" spans="1:10" x14ac:dyDescent="0.25">
      <c r="A159" s="10">
        <v>1996</v>
      </c>
      <c r="B159" s="80">
        <f t="shared" si="8"/>
        <v>9.4599190000000011</v>
      </c>
      <c r="C159" s="5">
        <v>8100.201</v>
      </c>
      <c r="D159" s="41">
        <f t="shared" si="7"/>
        <v>1.1678622542823321E-7</v>
      </c>
    </row>
    <row r="160" spans="1:10" x14ac:dyDescent="0.25">
      <c r="A160" s="10">
        <v>1997</v>
      </c>
      <c r="B160" s="80">
        <f t="shared" si="8"/>
        <v>14.291315999999998</v>
      </c>
      <c r="C160" s="5">
        <v>8608.5149999999994</v>
      </c>
      <c r="D160" s="41">
        <f t="shared" si="7"/>
        <v>1.6601372013639982E-7</v>
      </c>
    </row>
    <row r="161" spans="1:4" x14ac:dyDescent="0.25">
      <c r="A161" s="10">
        <v>1998</v>
      </c>
      <c r="B161" s="80">
        <f t="shared" si="8"/>
        <v>8.4369720000000008</v>
      </c>
      <c r="C161" s="5">
        <v>9089.1679999999997</v>
      </c>
      <c r="D161" s="41">
        <f t="shared" si="7"/>
        <v>9.2824469742445083E-8</v>
      </c>
    </row>
    <row r="162" spans="1:4" x14ac:dyDescent="0.25">
      <c r="A162" s="10">
        <v>1999</v>
      </c>
      <c r="B162" s="80">
        <f t="shared" si="8"/>
        <v>3.631122</v>
      </c>
      <c r="C162" s="5">
        <v>9660.6239999999998</v>
      </c>
      <c r="D162" s="41">
        <f t="shared" si="7"/>
        <v>3.7586826689456081E-8</v>
      </c>
    </row>
    <row r="163" spans="1:4" x14ac:dyDescent="0.25">
      <c r="A163" s="10">
        <v>2000</v>
      </c>
      <c r="B163" s="80">
        <f t="shared" si="8"/>
        <v>4.346425</v>
      </c>
      <c r="C163" s="5">
        <v>10284.779</v>
      </c>
      <c r="D163" s="41">
        <f t="shared" si="7"/>
        <v>4.2260752515926694E-8</v>
      </c>
    </row>
    <row r="164" spans="1:4" x14ac:dyDescent="0.25">
      <c r="A164" s="10">
        <v>2001</v>
      </c>
      <c r="B164" s="80">
        <f t="shared" si="8"/>
        <v>3.687303</v>
      </c>
      <c r="C164" s="5">
        <v>10621.824000000001</v>
      </c>
      <c r="D164" s="41">
        <f t="shared" si="7"/>
        <v>3.4714404983550848E-8</v>
      </c>
    </row>
    <row r="165" spans="1:4" x14ac:dyDescent="0.25">
      <c r="A165" s="10">
        <v>2002</v>
      </c>
      <c r="B165" s="80">
        <f t="shared" si="8"/>
        <v>2.1360950000000001</v>
      </c>
      <c r="C165" s="5">
        <v>10977.513999999999</v>
      </c>
      <c r="D165" s="41">
        <f t="shared" si="7"/>
        <v>1.9458822826370345E-8</v>
      </c>
    </row>
    <row r="166" spans="1:4" x14ac:dyDescent="0.25">
      <c r="A166" s="10">
        <v>2003</v>
      </c>
      <c r="B166" s="80">
        <f t="shared" si="8"/>
        <v>2.9235519999999999</v>
      </c>
      <c r="C166" s="5">
        <v>11510.67</v>
      </c>
      <c r="D166" s="41">
        <f t="shared" si="7"/>
        <v>2.5398625796760745E-8</v>
      </c>
    </row>
    <row r="167" spans="1:4" x14ac:dyDescent="0.25">
      <c r="A167" s="10">
        <v>2004</v>
      </c>
      <c r="B167" s="80">
        <f t="shared" si="8"/>
        <v>5.9719119999999997</v>
      </c>
      <c r="C167" s="5">
        <v>12274.928</v>
      </c>
      <c r="D167" s="41">
        <f t="shared" si="7"/>
        <v>4.8651299624730993E-8</v>
      </c>
    </row>
    <row r="168" spans="1:4" x14ac:dyDescent="0.25">
      <c r="A168" s="10">
        <v>2005</v>
      </c>
      <c r="B168" s="80">
        <f t="shared" si="8"/>
        <v>6.6133420000000003</v>
      </c>
      <c r="C168" s="5">
        <v>13093.726000000001</v>
      </c>
      <c r="D168" s="41">
        <f t="shared" si="7"/>
        <v>5.0507716443738022E-8</v>
      </c>
    </row>
    <row r="169" spans="1:4" x14ac:dyDescent="0.25">
      <c r="A169" s="10">
        <v>2006</v>
      </c>
      <c r="B169" s="80">
        <f t="shared" si="8"/>
        <v>5.4819040000000001</v>
      </c>
      <c r="C169" s="5">
        <v>13855.888000000001</v>
      </c>
      <c r="D169" s="41">
        <f t="shared" si="7"/>
        <v>3.9563714718248302E-8</v>
      </c>
    </row>
    <row r="170" spans="1:4" x14ac:dyDescent="0.25">
      <c r="A170" s="10">
        <v>2007</v>
      </c>
      <c r="B170" s="80">
        <f t="shared" si="8"/>
        <v>6.3556789999999994</v>
      </c>
      <c r="C170" s="5">
        <v>14477.635</v>
      </c>
      <c r="D170" s="41">
        <f t="shared" si="7"/>
        <v>4.389998090157681E-8</v>
      </c>
    </row>
    <row r="171" spans="1:4" x14ac:dyDescent="0.25">
      <c r="A171" s="10">
        <v>2008</v>
      </c>
      <c r="B171" s="80">
        <f t="shared" si="8"/>
        <v>10.866685</v>
      </c>
      <c r="C171" s="5">
        <v>14718.582</v>
      </c>
      <c r="D171" s="41">
        <f t="shared" si="7"/>
        <v>7.3829700442610572E-8</v>
      </c>
    </row>
    <row r="172" spans="1:4" x14ac:dyDescent="0.25">
      <c r="A172" s="10">
        <v>2009</v>
      </c>
      <c r="B172" s="80">
        <f t="shared" si="8"/>
        <v>4.6914490000000004</v>
      </c>
      <c r="C172" s="5">
        <v>14418.739</v>
      </c>
      <c r="D172" s="41">
        <f t="shared" si="7"/>
        <v>3.2537165698054462E-8</v>
      </c>
    </row>
    <row r="173" spans="1:4" x14ac:dyDescent="0.25">
      <c r="A173" s="10">
        <v>2010</v>
      </c>
      <c r="B173" s="80">
        <f t="shared" si="8"/>
        <v>3.2487789999999999</v>
      </c>
      <c r="C173" s="5">
        <v>14964.371999999999</v>
      </c>
      <c r="D173" s="41">
        <f t="shared" si="7"/>
        <v>2.1710092478321176E-8</v>
      </c>
    </row>
    <row r="174" spans="1:4" x14ac:dyDescent="0.25">
      <c r="A174" s="10">
        <v>2011</v>
      </c>
      <c r="B174" s="80">
        <f t="shared" si="8"/>
        <v>5.0218429999999996</v>
      </c>
      <c r="C174" s="5">
        <v>15517.925999999999</v>
      </c>
      <c r="D174" s="41">
        <f t="shared" si="7"/>
        <v>3.2361560430176039E-8</v>
      </c>
    </row>
    <row r="175" spans="1:4" x14ac:dyDescent="0.25">
      <c r="A175" s="10">
        <v>2012</v>
      </c>
      <c r="B175" s="80">
        <f t="shared" si="8"/>
        <v>18.737859999999998</v>
      </c>
      <c r="C175" s="5">
        <v>16155.254999999999</v>
      </c>
      <c r="D175" s="41">
        <f t="shared" si="7"/>
        <v>1.1598616054033191E-7</v>
      </c>
    </row>
    <row r="176" spans="1:4" x14ac:dyDescent="0.25">
      <c r="A176" s="10">
        <v>2013</v>
      </c>
      <c r="B176" s="80">
        <f t="shared" si="8"/>
        <v>32.098714000000001</v>
      </c>
      <c r="C176" s="5">
        <v>16663.16</v>
      </c>
      <c r="D176" s="41">
        <f t="shared" si="7"/>
        <v>1.9263281394405383E-7</v>
      </c>
    </row>
    <row r="177" spans="1:10" x14ac:dyDescent="0.25">
      <c r="A177" s="10">
        <v>2014</v>
      </c>
      <c r="B177" s="80">
        <f t="shared" si="8"/>
        <v>53.679803999999997</v>
      </c>
      <c r="C177" s="5">
        <v>17348.071499999998</v>
      </c>
      <c r="D177" s="41">
        <f t="shared" si="7"/>
        <v>3.0942807677498908E-7</v>
      </c>
    </row>
    <row r="178" spans="1:10" x14ac:dyDescent="0.25">
      <c r="A178" s="11">
        <v>2015</v>
      </c>
      <c r="B178" s="80">
        <f t="shared" si="8"/>
        <v>48.262848999999996</v>
      </c>
      <c r="C178" s="5">
        <v>17946.995999999999</v>
      </c>
      <c r="D178" s="41">
        <f t="shared" si="7"/>
        <v>2.6891881515992982E-7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75" x14ac:dyDescent="0.25">
      <c r="A183" s="12" t="s">
        <v>3</v>
      </c>
      <c r="B183" s="13" t="s">
        <v>149</v>
      </c>
      <c r="C183" s="13" t="s">
        <v>150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80">
        <f>B154</f>
        <v>1.681718</v>
      </c>
      <c r="C184" s="80">
        <f>Tabla11619264054[[#This Row],[Balanza Comercial Absoluta Colombia 
(US$ millones)]]/2</f>
        <v>0.84085900000000002</v>
      </c>
      <c r="D184" s="5">
        <v>41239.551378248201</v>
      </c>
      <c r="E184" s="19">
        <f t="shared" ref="E184:E208" si="9">C184/(D184*10)</f>
        <v>2.0389625296542654E-6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80">
        <f t="shared" ref="B185:B208" si="10">B155</f>
        <v>6.4066039999999997</v>
      </c>
      <c r="C185" s="80">
        <f>Tabla11619264054[[#This Row],[Balanza Comercial Absoluta Colombia 
(US$ millones)]]/2</f>
        <v>3.2033019999999999</v>
      </c>
      <c r="D185" s="5">
        <v>49279.585355094838</v>
      </c>
      <c r="E185" s="19">
        <f t="shared" si="9"/>
        <v>6.5002616741149635E-6</v>
      </c>
    </row>
    <row r="186" spans="1:10" x14ac:dyDescent="0.25">
      <c r="A186" s="10">
        <v>1993</v>
      </c>
      <c r="B186" s="80">
        <f t="shared" si="10"/>
        <v>9.377402</v>
      </c>
      <c r="C186" s="80">
        <f>Tabla11619264054[[#This Row],[Balanza Comercial Absoluta Colombia 
(US$ millones)]]/2</f>
        <v>4.688701</v>
      </c>
      <c r="D186" s="5">
        <v>55802.540100979531</v>
      </c>
      <c r="E186" s="19">
        <f t="shared" si="9"/>
        <v>8.4023074783251618E-6</v>
      </c>
    </row>
    <row r="187" spans="1:10" x14ac:dyDescent="0.25">
      <c r="A187" s="10">
        <v>1994</v>
      </c>
      <c r="B187" s="80">
        <f t="shared" si="10"/>
        <v>5.9545109999999992</v>
      </c>
      <c r="C187" s="80">
        <f>Tabla11619264054[[#This Row],[Balanza Comercial Absoluta Colombia 
(US$ millones)]]/2</f>
        <v>2.9772554999999996</v>
      </c>
      <c r="D187" s="5">
        <v>81703.496603993364</v>
      </c>
      <c r="E187" s="19">
        <f t="shared" si="9"/>
        <v>3.6439756237488647E-6</v>
      </c>
    </row>
    <row r="188" spans="1:10" x14ac:dyDescent="0.25">
      <c r="A188" s="10">
        <v>1995</v>
      </c>
      <c r="B188" s="80">
        <f t="shared" si="10"/>
        <v>14.700619999999999</v>
      </c>
      <c r="C188" s="80">
        <f>Tabla11619264054[[#This Row],[Balanza Comercial Absoluta Colombia 
(US$ millones)]]/2</f>
        <v>7.3503099999999995</v>
      </c>
      <c r="D188" s="5">
        <v>92507.277798198498</v>
      </c>
      <c r="E188" s="19">
        <f t="shared" si="9"/>
        <v>7.9456559256174973E-6</v>
      </c>
    </row>
    <row r="189" spans="1:10" x14ac:dyDescent="0.25">
      <c r="A189" s="10">
        <v>1996</v>
      </c>
      <c r="B189" s="80">
        <f t="shared" si="10"/>
        <v>9.4599190000000011</v>
      </c>
      <c r="C189" s="80">
        <f>Tabla11619264054[[#This Row],[Balanza Comercial Absoluta Colombia 
(US$ millones)]]/2</f>
        <v>4.7299595000000005</v>
      </c>
      <c r="D189" s="5">
        <v>97160.111573336981</v>
      </c>
      <c r="E189" s="19">
        <f t="shared" si="9"/>
        <v>4.8682112683967037E-6</v>
      </c>
    </row>
    <row r="190" spans="1:10" x14ac:dyDescent="0.25">
      <c r="A190" s="10">
        <v>1997</v>
      </c>
      <c r="B190" s="80">
        <f t="shared" si="10"/>
        <v>14.291315999999998</v>
      </c>
      <c r="C190" s="80">
        <f>Tabla11619264054[[#This Row],[Balanza Comercial Absoluta Colombia 
(US$ millones)]]/2</f>
        <v>7.1456579999999992</v>
      </c>
      <c r="D190" s="5">
        <v>106659.5079635281</v>
      </c>
      <c r="E190" s="19">
        <f t="shared" si="9"/>
        <v>6.6995039977527692E-6</v>
      </c>
    </row>
    <row r="191" spans="1:10" x14ac:dyDescent="0.25">
      <c r="A191" s="10">
        <v>1998</v>
      </c>
      <c r="B191" s="80">
        <f t="shared" si="10"/>
        <v>8.4369720000000008</v>
      </c>
      <c r="C191" s="80">
        <f>Tabla11619264054[[#This Row],[Balanza Comercial Absoluta Colombia 
(US$ millones)]]/2</f>
        <v>4.2184860000000004</v>
      </c>
      <c r="D191" s="5">
        <v>98443.743190849113</v>
      </c>
      <c r="E191" s="19">
        <f t="shared" si="9"/>
        <v>4.2851743170937572E-6</v>
      </c>
    </row>
    <row r="192" spans="1:10" x14ac:dyDescent="0.25">
      <c r="A192" s="10">
        <v>1999</v>
      </c>
      <c r="B192" s="80">
        <f t="shared" si="10"/>
        <v>3.631122</v>
      </c>
      <c r="C192" s="80">
        <f>Tabla11619264054[[#This Row],[Balanza Comercial Absoluta Colombia 
(US$ millones)]]/2</f>
        <v>1.815561</v>
      </c>
      <c r="D192" s="5">
        <v>86186.156584381664</v>
      </c>
      <c r="E192" s="19">
        <f t="shared" si="9"/>
        <v>2.1065575632467748E-6</v>
      </c>
    </row>
    <row r="193" spans="1:5" x14ac:dyDescent="0.25">
      <c r="A193" s="10">
        <v>2000</v>
      </c>
      <c r="B193" s="80">
        <f t="shared" si="10"/>
        <v>4.346425</v>
      </c>
      <c r="C193" s="80">
        <f>Tabla11619264054[[#This Row],[Balanza Comercial Absoluta Colombia 
(US$ millones)]]/2</f>
        <v>2.1732125</v>
      </c>
      <c r="D193" s="5">
        <v>99886.577575544405</v>
      </c>
      <c r="E193" s="19">
        <f t="shared" si="9"/>
        <v>2.1756802092417223E-6</v>
      </c>
    </row>
    <row r="194" spans="1:5" x14ac:dyDescent="0.25">
      <c r="A194" s="10">
        <v>2001</v>
      </c>
      <c r="B194" s="80">
        <f t="shared" si="10"/>
        <v>3.687303</v>
      </c>
      <c r="C194" s="80">
        <f>Tabla11619264054[[#This Row],[Balanza Comercial Absoluta Colombia 
(US$ millones)]]/2</f>
        <v>1.8436515</v>
      </c>
      <c r="D194" s="5">
        <v>98203.544965267793</v>
      </c>
      <c r="E194" s="19">
        <f t="shared" si="9"/>
        <v>1.8773777470579651E-6</v>
      </c>
    </row>
    <row r="195" spans="1:5" x14ac:dyDescent="0.25">
      <c r="A195" s="10">
        <v>2002</v>
      </c>
      <c r="B195" s="80">
        <f t="shared" si="10"/>
        <v>2.1360950000000001</v>
      </c>
      <c r="C195" s="80">
        <f>Tabla11619264054[[#This Row],[Balanza Comercial Absoluta Colombia 
(US$ millones)]]/2</f>
        <v>1.0680475</v>
      </c>
      <c r="D195" s="5">
        <v>97933.392356425305</v>
      </c>
      <c r="E195" s="19">
        <f t="shared" si="9"/>
        <v>1.0905856259046729E-6</v>
      </c>
    </row>
    <row r="196" spans="1:5" x14ac:dyDescent="0.25">
      <c r="A196" s="10">
        <v>2003</v>
      </c>
      <c r="B196" s="80">
        <f t="shared" si="10"/>
        <v>2.9235519999999999</v>
      </c>
      <c r="C196" s="80">
        <f>Tabla11619264054[[#This Row],[Balanza Comercial Absoluta Colombia 
(US$ millones)]]/2</f>
        <v>1.461776</v>
      </c>
      <c r="D196" s="5">
        <v>94684.582573316715</v>
      </c>
      <c r="E196" s="19">
        <f t="shared" si="9"/>
        <v>1.5438374023227163E-6</v>
      </c>
    </row>
    <row r="197" spans="1:5" x14ac:dyDescent="0.25">
      <c r="A197" s="10">
        <v>2004</v>
      </c>
      <c r="B197" s="80">
        <f t="shared" si="10"/>
        <v>5.9719119999999997</v>
      </c>
      <c r="C197" s="80">
        <f>Tabla11619264054[[#This Row],[Balanza Comercial Absoluta Colombia 
(US$ millones)]]/2</f>
        <v>2.9859559999999998</v>
      </c>
      <c r="D197" s="5">
        <v>117074.86551527939</v>
      </c>
      <c r="E197" s="19">
        <f t="shared" si="9"/>
        <v>2.5504671620658865E-6</v>
      </c>
    </row>
    <row r="198" spans="1:5" x14ac:dyDescent="0.25">
      <c r="A198" s="10">
        <v>2005</v>
      </c>
      <c r="B198" s="80">
        <f t="shared" si="10"/>
        <v>6.6133420000000003</v>
      </c>
      <c r="C198" s="80">
        <f>Tabla11619264054[[#This Row],[Balanza Comercial Absoluta Colombia 
(US$ millones)]]/2</f>
        <v>3.3066710000000001</v>
      </c>
      <c r="D198" s="5">
        <v>146566.26631057015</v>
      </c>
      <c r="E198" s="19">
        <f t="shared" si="9"/>
        <v>2.2560928126484775E-6</v>
      </c>
    </row>
    <row r="199" spans="1:5" x14ac:dyDescent="0.25">
      <c r="A199" s="10">
        <v>2006</v>
      </c>
      <c r="B199" s="80">
        <f t="shared" si="10"/>
        <v>5.4819040000000001</v>
      </c>
      <c r="C199" s="80">
        <f>Tabla11619264054[[#This Row],[Balanza Comercial Absoluta Colombia 
(US$ millones)]]/2</f>
        <v>2.7409520000000001</v>
      </c>
      <c r="D199" s="5">
        <v>162590.1460964143</v>
      </c>
      <c r="E199" s="19">
        <f t="shared" si="9"/>
        <v>1.685804500338319E-6</v>
      </c>
    </row>
    <row r="200" spans="1:5" x14ac:dyDescent="0.25">
      <c r="A200" s="10">
        <v>2007</v>
      </c>
      <c r="B200" s="80">
        <f t="shared" si="10"/>
        <v>6.3556789999999994</v>
      </c>
      <c r="C200" s="80">
        <f>Tabla11619264054[[#This Row],[Balanza Comercial Absoluta Colombia 
(US$ millones)]]/2</f>
        <v>3.1778394999999997</v>
      </c>
      <c r="D200" s="5">
        <v>207416.49464237894</v>
      </c>
      <c r="E200" s="19">
        <f t="shared" si="9"/>
        <v>1.5321054892375515E-6</v>
      </c>
    </row>
    <row r="201" spans="1:5" x14ac:dyDescent="0.25">
      <c r="A201" s="10">
        <v>2008</v>
      </c>
      <c r="B201" s="80">
        <f t="shared" si="10"/>
        <v>10.866685</v>
      </c>
      <c r="C201" s="80">
        <f>Tabla11619264054[[#This Row],[Balanza Comercial Absoluta Colombia 
(US$ millones)]]/2</f>
        <v>5.4333425000000002</v>
      </c>
      <c r="D201" s="5">
        <v>243982.43787084011</v>
      </c>
      <c r="E201" s="19">
        <f t="shared" si="9"/>
        <v>2.2269399992126948E-6</v>
      </c>
    </row>
    <row r="202" spans="1:5" x14ac:dyDescent="0.25">
      <c r="A202" s="10">
        <v>2009</v>
      </c>
      <c r="B202" s="80">
        <f t="shared" si="10"/>
        <v>4.6914490000000004</v>
      </c>
      <c r="C202" s="80">
        <f>Tabla11619264054[[#This Row],[Balanza Comercial Absoluta Colombia 
(US$ millones)]]/2</f>
        <v>2.3457245000000002</v>
      </c>
      <c r="D202" s="5">
        <v>233821.6705442575</v>
      </c>
      <c r="E202" s="19">
        <f t="shared" si="9"/>
        <v>1.0032109062175246E-6</v>
      </c>
    </row>
    <row r="203" spans="1:5" x14ac:dyDescent="0.25">
      <c r="A203" s="10">
        <v>2010</v>
      </c>
      <c r="B203" s="80">
        <f t="shared" si="10"/>
        <v>3.2487789999999999</v>
      </c>
      <c r="C203" s="80">
        <f>Tabla11619264054[[#This Row],[Balanza Comercial Absoluta Colombia 
(US$ millones)]]/2</f>
        <v>1.6243894999999999</v>
      </c>
      <c r="D203" s="5">
        <v>287018.18463752925</v>
      </c>
      <c r="E203" s="19">
        <f t="shared" si="9"/>
        <v>5.6595351338153571E-7</v>
      </c>
    </row>
    <row r="204" spans="1:5" x14ac:dyDescent="0.25">
      <c r="A204" s="10">
        <v>2011</v>
      </c>
      <c r="B204" s="80">
        <f t="shared" si="10"/>
        <v>5.0218429999999996</v>
      </c>
      <c r="C204" s="80">
        <f>Tabla11619264054[[#This Row],[Balanza Comercial Absoluta Colombia 
(US$ millones)]]/2</f>
        <v>2.5109214999999998</v>
      </c>
      <c r="D204" s="5">
        <v>335415.15670218616</v>
      </c>
      <c r="E204" s="19">
        <f t="shared" si="9"/>
        <v>7.4860108430622807E-7</v>
      </c>
    </row>
    <row r="205" spans="1:5" x14ac:dyDescent="0.25">
      <c r="A205" s="10">
        <v>2012</v>
      </c>
      <c r="B205" s="80">
        <f t="shared" si="10"/>
        <v>18.737859999999998</v>
      </c>
      <c r="C205" s="80">
        <f>Tabla11619264054[[#This Row],[Balanza Comercial Absoluta Colombia 
(US$ millones)]]/2</f>
        <v>9.3689299999999989</v>
      </c>
      <c r="D205" s="5">
        <v>369659.70037551981</v>
      </c>
      <c r="E205" s="19">
        <f t="shared" si="9"/>
        <v>2.5344742720081594E-6</v>
      </c>
    </row>
    <row r="206" spans="1:5" x14ac:dyDescent="0.25">
      <c r="A206" s="10">
        <v>2013</v>
      </c>
      <c r="B206" s="80">
        <f t="shared" si="10"/>
        <v>32.098714000000001</v>
      </c>
      <c r="C206" s="80">
        <f>Tabla11619264054[[#This Row],[Balanza Comercial Absoluta Colombia 
(US$ millones)]]/2</f>
        <v>16.049357000000001</v>
      </c>
      <c r="D206" s="5">
        <v>380191.88186037214</v>
      </c>
      <c r="E206" s="19">
        <f t="shared" si="9"/>
        <v>4.2213834028929181E-6</v>
      </c>
    </row>
    <row r="207" spans="1:5" x14ac:dyDescent="0.25">
      <c r="A207" s="10">
        <v>2014</v>
      </c>
      <c r="B207" s="80">
        <f t="shared" si="10"/>
        <v>53.679803999999997</v>
      </c>
      <c r="C207" s="80">
        <f>Tabla11619264054[[#This Row],[Balanza Comercial Absoluta Colombia 
(US$ millones)]]/2</f>
        <v>26.839901999999999</v>
      </c>
      <c r="D207" s="5">
        <v>378416.02053371473</v>
      </c>
      <c r="E207" s="19">
        <f t="shared" si="9"/>
        <v>7.0926970697871699E-6</v>
      </c>
    </row>
    <row r="208" spans="1:5" x14ac:dyDescent="0.25">
      <c r="A208" s="11">
        <v>2015</v>
      </c>
      <c r="B208" s="80">
        <f t="shared" si="10"/>
        <v>48.262848999999996</v>
      </c>
      <c r="C208" s="85">
        <f>Tabla11619264054[[#This Row],[Balanza Comercial Absoluta Colombia 
(US$ millones)]]/2</f>
        <v>24.131424499999998</v>
      </c>
      <c r="D208" s="6">
        <v>292080.15563330991</v>
      </c>
      <c r="E208" s="19">
        <f t="shared" si="9"/>
        <v>8.2619185297530574E-6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60" x14ac:dyDescent="0.25">
      <c r="A212" s="28" t="s">
        <v>3</v>
      </c>
      <c r="B212" s="29" t="s">
        <v>148</v>
      </c>
      <c r="C212" s="29" t="s">
        <v>151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80">
        <f>B125</f>
        <v>1.681718</v>
      </c>
      <c r="C213" s="80">
        <f>Tabla1161721274155[[#This Row],[Balanza Comercial Absoluta USA
(US$ millones)]]/2</f>
        <v>0.84085900000000002</v>
      </c>
      <c r="D213" s="5">
        <v>6174.0429999999997</v>
      </c>
      <c r="E213" s="95">
        <f t="shared" ref="E213:E237" si="11">(C213/D213)/10000</f>
        <v>1.3619260507255942E-8</v>
      </c>
    </row>
    <row r="214" spans="1:10" x14ac:dyDescent="0.25">
      <c r="A214" s="31">
        <v>1992</v>
      </c>
      <c r="B214" s="80">
        <f t="shared" ref="B214:B237" si="12">B126</f>
        <v>6.4066039999999997</v>
      </c>
      <c r="C214" s="80">
        <f>Tabla1161721274155[[#This Row],[Balanza Comercial Absoluta USA
(US$ millones)]]/2</f>
        <v>3.2033019999999999</v>
      </c>
      <c r="D214" s="5">
        <v>6539.299</v>
      </c>
      <c r="E214" s="95">
        <f t="shared" si="11"/>
        <v>4.8985403481321163E-8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80">
        <f t="shared" si="12"/>
        <v>9.377402</v>
      </c>
      <c r="C215" s="80">
        <f>Tabla1161721274155[[#This Row],[Balanza Comercial Absoluta USA
(US$ millones)]]/2</f>
        <v>4.688701</v>
      </c>
      <c r="D215" s="5">
        <v>6878.7179999999998</v>
      </c>
      <c r="E215" s="95">
        <f t="shared" si="11"/>
        <v>6.8162425033269289E-8</v>
      </c>
    </row>
    <row r="216" spans="1:10" x14ac:dyDescent="0.25">
      <c r="A216" s="31">
        <v>1994</v>
      </c>
      <c r="B216" s="80">
        <f t="shared" si="12"/>
        <v>5.9545109999999992</v>
      </c>
      <c r="C216" s="80">
        <f>Tabla1161721274155[[#This Row],[Balanza Comercial Absoluta USA
(US$ millones)]]/2</f>
        <v>2.9772554999999996</v>
      </c>
      <c r="D216" s="5">
        <v>7308.7550000000001</v>
      </c>
      <c r="E216" s="95">
        <f t="shared" si="11"/>
        <v>4.073546725810346E-8</v>
      </c>
    </row>
    <row r="217" spans="1:10" x14ac:dyDescent="0.25">
      <c r="A217" s="31">
        <v>1995</v>
      </c>
      <c r="B217" s="80">
        <f t="shared" si="12"/>
        <v>14.700619999999999</v>
      </c>
      <c r="C217" s="80">
        <f>Tabla1161721274155[[#This Row],[Balanza Comercial Absoluta USA
(US$ millones)]]/2</f>
        <v>7.3503099999999995</v>
      </c>
      <c r="D217" s="5">
        <v>7664.06</v>
      </c>
      <c r="E217" s="95">
        <f t="shared" si="11"/>
        <v>9.5906216809367339E-8</v>
      </c>
    </row>
    <row r="218" spans="1:10" x14ac:dyDescent="0.25">
      <c r="A218" s="31">
        <v>1996</v>
      </c>
      <c r="B218" s="80">
        <f t="shared" si="12"/>
        <v>9.4599190000000011</v>
      </c>
      <c r="C218" s="80">
        <f>Tabla1161721274155[[#This Row],[Balanza Comercial Absoluta USA
(US$ millones)]]/2</f>
        <v>4.7299595000000005</v>
      </c>
      <c r="D218" s="5">
        <v>8100.201</v>
      </c>
      <c r="E218" s="95">
        <f t="shared" si="11"/>
        <v>5.8393112714116605E-8</v>
      </c>
    </row>
    <row r="219" spans="1:10" x14ac:dyDescent="0.25">
      <c r="A219" s="31">
        <v>1997</v>
      </c>
      <c r="B219" s="80">
        <f t="shared" si="12"/>
        <v>14.291315999999998</v>
      </c>
      <c r="C219" s="80">
        <f>Tabla1161721274155[[#This Row],[Balanza Comercial Absoluta USA
(US$ millones)]]/2</f>
        <v>7.1456579999999992</v>
      </c>
      <c r="D219" s="5">
        <v>8608.5149999999994</v>
      </c>
      <c r="E219" s="95">
        <f t="shared" si="11"/>
        <v>8.3006860068199908E-8</v>
      </c>
    </row>
    <row r="220" spans="1:10" x14ac:dyDescent="0.25">
      <c r="A220" s="31">
        <v>1998</v>
      </c>
      <c r="B220" s="80">
        <f t="shared" si="12"/>
        <v>8.4369720000000008</v>
      </c>
      <c r="C220" s="80">
        <f>Tabla1161721274155[[#This Row],[Balanza Comercial Absoluta USA
(US$ millones)]]/2</f>
        <v>4.2184860000000004</v>
      </c>
      <c r="D220" s="5">
        <v>9089.1679999999997</v>
      </c>
      <c r="E220" s="95">
        <f t="shared" si="11"/>
        <v>4.6412234871222541E-8</v>
      </c>
    </row>
    <row r="221" spans="1:10" x14ac:dyDescent="0.25">
      <c r="A221" s="31">
        <v>1999</v>
      </c>
      <c r="B221" s="80">
        <f t="shared" si="12"/>
        <v>3.631122</v>
      </c>
      <c r="C221" s="80">
        <f>Tabla1161721274155[[#This Row],[Balanza Comercial Absoluta USA
(US$ millones)]]/2</f>
        <v>1.815561</v>
      </c>
      <c r="D221" s="5">
        <v>9660.6239999999998</v>
      </c>
      <c r="E221" s="95">
        <f t="shared" si="11"/>
        <v>1.8793413344728041E-8</v>
      </c>
    </row>
    <row r="222" spans="1:10" x14ac:dyDescent="0.25">
      <c r="A222" s="31">
        <v>2000</v>
      </c>
      <c r="B222" s="80">
        <f t="shared" si="12"/>
        <v>4.346425</v>
      </c>
      <c r="C222" s="80">
        <f>Tabla1161721274155[[#This Row],[Balanza Comercial Absoluta USA
(US$ millones)]]/2</f>
        <v>2.1732125</v>
      </c>
      <c r="D222" s="5">
        <v>10284.779</v>
      </c>
      <c r="E222" s="95">
        <f t="shared" si="11"/>
        <v>2.1130376257963347E-8</v>
      </c>
    </row>
    <row r="223" spans="1:10" x14ac:dyDescent="0.25">
      <c r="A223" s="31">
        <v>2001</v>
      </c>
      <c r="B223" s="80">
        <f t="shared" si="12"/>
        <v>3.687303</v>
      </c>
      <c r="C223" s="80">
        <f>Tabla1161721274155[[#This Row],[Balanza Comercial Absoluta USA
(US$ millones)]]/2</f>
        <v>1.8436515</v>
      </c>
      <c r="D223" s="5">
        <v>10621.824000000001</v>
      </c>
      <c r="E223" s="95">
        <f t="shared" si="11"/>
        <v>1.7357202491775424E-8</v>
      </c>
    </row>
    <row r="224" spans="1:10" x14ac:dyDescent="0.25">
      <c r="A224" s="31">
        <v>2002</v>
      </c>
      <c r="B224" s="80">
        <f t="shared" si="12"/>
        <v>2.1360950000000001</v>
      </c>
      <c r="C224" s="80">
        <f>Tabla1161721274155[[#This Row],[Balanza Comercial Absoluta USA
(US$ millones)]]/2</f>
        <v>1.0680475</v>
      </c>
      <c r="D224" s="5">
        <v>10977.513999999999</v>
      </c>
      <c r="E224" s="95">
        <f t="shared" si="11"/>
        <v>9.7294114131851724E-9</v>
      </c>
    </row>
    <row r="225" spans="1:5" x14ac:dyDescent="0.25">
      <c r="A225" s="31">
        <v>2003</v>
      </c>
      <c r="B225" s="80">
        <f t="shared" si="12"/>
        <v>2.9235519999999999</v>
      </c>
      <c r="C225" s="80">
        <f>Tabla1161721274155[[#This Row],[Balanza Comercial Absoluta USA
(US$ millones)]]/2</f>
        <v>1.461776</v>
      </c>
      <c r="D225" s="5">
        <v>11510.67</v>
      </c>
      <c r="E225" s="95">
        <f t="shared" si="11"/>
        <v>1.2699312898380373E-8</v>
      </c>
    </row>
    <row r="226" spans="1:5" x14ac:dyDescent="0.25">
      <c r="A226" s="31">
        <v>2004</v>
      </c>
      <c r="B226" s="80">
        <f t="shared" si="12"/>
        <v>5.9719119999999997</v>
      </c>
      <c r="C226" s="80">
        <f>Tabla1161721274155[[#This Row],[Balanza Comercial Absoluta USA
(US$ millones)]]/2</f>
        <v>2.9859559999999998</v>
      </c>
      <c r="D226" s="5">
        <v>12274.928</v>
      </c>
      <c r="E226" s="95">
        <f t="shared" si="11"/>
        <v>2.4325649812365496E-8</v>
      </c>
    </row>
    <row r="227" spans="1:5" x14ac:dyDescent="0.25">
      <c r="A227" s="31">
        <v>2005</v>
      </c>
      <c r="B227" s="80">
        <f t="shared" si="12"/>
        <v>6.6133420000000003</v>
      </c>
      <c r="C227" s="80">
        <f>Tabla1161721274155[[#This Row],[Balanza Comercial Absoluta USA
(US$ millones)]]/2</f>
        <v>3.3066710000000001</v>
      </c>
      <c r="D227" s="5">
        <v>13093.726000000001</v>
      </c>
      <c r="E227" s="95">
        <f t="shared" si="11"/>
        <v>2.5253858221869011E-8</v>
      </c>
    </row>
    <row r="228" spans="1:5" x14ac:dyDescent="0.25">
      <c r="A228" s="31">
        <v>2006</v>
      </c>
      <c r="B228" s="80">
        <f t="shared" si="12"/>
        <v>5.4819040000000001</v>
      </c>
      <c r="C228" s="80">
        <f>Tabla1161721274155[[#This Row],[Balanza Comercial Absoluta USA
(US$ millones)]]/2</f>
        <v>2.7409520000000001</v>
      </c>
      <c r="D228" s="5">
        <v>13855.888000000001</v>
      </c>
      <c r="E228" s="95">
        <f t="shared" si="11"/>
        <v>1.9781857359124151E-8</v>
      </c>
    </row>
    <row r="229" spans="1:5" x14ac:dyDescent="0.25">
      <c r="A229" s="31">
        <v>2007</v>
      </c>
      <c r="B229" s="80">
        <f t="shared" si="12"/>
        <v>6.3556789999999994</v>
      </c>
      <c r="C229" s="80">
        <f>Tabla1161721274155[[#This Row],[Balanza Comercial Absoluta USA
(US$ millones)]]/2</f>
        <v>3.1778394999999997</v>
      </c>
      <c r="D229" s="5">
        <v>14477.635</v>
      </c>
      <c r="E229" s="95">
        <f t="shared" si="11"/>
        <v>2.1949990450788405E-8</v>
      </c>
    </row>
    <row r="230" spans="1:5" x14ac:dyDescent="0.25">
      <c r="A230" s="31">
        <v>2008</v>
      </c>
      <c r="B230" s="80">
        <f t="shared" si="12"/>
        <v>10.866685</v>
      </c>
      <c r="C230" s="80">
        <f>Tabla1161721274155[[#This Row],[Balanza Comercial Absoluta USA
(US$ millones)]]/2</f>
        <v>5.4333425000000002</v>
      </c>
      <c r="D230" s="5">
        <v>14718.582</v>
      </c>
      <c r="E230" s="95">
        <f t="shared" si="11"/>
        <v>3.6914850221305286E-8</v>
      </c>
    </row>
    <row r="231" spans="1:5" x14ac:dyDescent="0.25">
      <c r="A231" s="31">
        <v>2009</v>
      </c>
      <c r="B231" s="80">
        <f t="shared" si="12"/>
        <v>4.6914490000000004</v>
      </c>
      <c r="C231" s="80">
        <f>Tabla1161721274155[[#This Row],[Balanza Comercial Absoluta USA
(US$ millones)]]/2</f>
        <v>2.3457245000000002</v>
      </c>
      <c r="D231" s="5">
        <v>14418.739</v>
      </c>
      <c r="E231" s="95">
        <f t="shared" si="11"/>
        <v>1.6268582849027231E-8</v>
      </c>
    </row>
    <row r="232" spans="1:5" x14ac:dyDescent="0.25">
      <c r="A232" s="31">
        <v>2010</v>
      </c>
      <c r="B232" s="80">
        <f t="shared" si="12"/>
        <v>3.2487789999999999</v>
      </c>
      <c r="C232" s="80">
        <f>Tabla1161721274155[[#This Row],[Balanza Comercial Absoluta USA
(US$ millones)]]/2</f>
        <v>1.6243894999999999</v>
      </c>
      <c r="D232" s="5">
        <v>14964.371999999999</v>
      </c>
      <c r="E232" s="95">
        <f t="shared" si="11"/>
        <v>1.0855046239160588E-8</v>
      </c>
    </row>
    <row r="233" spans="1:5" x14ac:dyDescent="0.25">
      <c r="A233" s="31">
        <v>2011</v>
      </c>
      <c r="B233" s="80">
        <f t="shared" si="12"/>
        <v>5.0218429999999996</v>
      </c>
      <c r="C233" s="80">
        <f>Tabla1161721274155[[#This Row],[Balanza Comercial Absoluta USA
(US$ millones)]]/2</f>
        <v>2.5109214999999998</v>
      </c>
      <c r="D233" s="5">
        <v>15517.925999999999</v>
      </c>
      <c r="E233" s="95">
        <f t="shared" si="11"/>
        <v>1.618078021508802E-8</v>
      </c>
    </row>
    <row r="234" spans="1:5" x14ac:dyDescent="0.25">
      <c r="A234" s="31">
        <v>2012</v>
      </c>
      <c r="B234" s="80">
        <f t="shared" si="12"/>
        <v>18.737859999999998</v>
      </c>
      <c r="C234" s="80">
        <f>Tabla1161721274155[[#This Row],[Balanza Comercial Absoluta USA
(US$ millones)]]/2</f>
        <v>9.3689299999999989</v>
      </c>
      <c r="D234" s="5">
        <v>16155.254999999999</v>
      </c>
      <c r="E234" s="95">
        <f t="shared" si="11"/>
        <v>5.7993080270165957E-8</v>
      </c>
    </row>
    <row r="235" spans="1:5" x14ac:dyDescent="0.25">
      <c r="A235" s="31">
        <v>2013</v>
      </c>
      <c r="B235" s="80">
        <f t="shared" si="12"/>
        <v>32.098714000000001</v>
      </c>
      <c r="C235" s="80">
        <f>Tabla1161721274155[[#This Row],[Balanza Comercial Absoluta USA
(US$ millones)]]/2</f>
        <v>16.049357000000001</v>
      </c>
      <c r="D235" s="5">
        <v>16663.16</v>
      </c>
      <c r="E235" s="95">
        <f t="shared" si="11"/>
        <v>9.6316406972026917E-8</v>
      </c>
    </row>
    <row r="236" spans="1:5" x14ac:dyDescent="0.25">
      <c r="A236" s="31">
        <v>2014</v>
      </c>
      <c r="B236" s="80">
        <f t="shared" si="12"/>
        <v>53.679803999999997</v>
      </c>
      <c r="C236" s="80">
        <f>Tabla1161721274155[[#This Row],[Balanza Comercial Absoluta USA
(US$ millones)]]/2</f>
        <v>26.839901999999999</v>
      </c>
      <c r="D236" s="5">
        <v>17348.071499999998</v>
      </c>
      <c r="E236" s="95">
        <f t="shared" si="11"/>
        <v>1.5471403838749454E-7</v>
      </c>
    </row>
    <row r="237" spans="1:5" x14ac:dyDescent="0.25">
      <c r="A237" s="31">
        <v>2015</v>
      </c>
      <c r="B237" s="80">
        <f t="shared" si="12"/>
        <v>48.262848999999996</v>
      </c>
      <c r="C237" s="80">
        <f>Tabla1161721274155[[#This Row],[Balanza Comercial Absoluta USA
(US$ millones)]]/2</f>
        <v>24.131424499999998</v>
      </c>
      <c r="D237" s="5">
        <v>17946.995999999999</v>
      </c>
      <c r="E237" s="95">
        <f t="shared" si="11"/>
        <v>1.3445940757996491E-7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97" zoomScale="80" zoomScaleNormal="80" workbookViewId="0">
      <selection activeCell="H119" sqref="H119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30</v>
      </c>
    </row>
    <row r="4" spans="1:10" x14ac:dyDescent="0.25">
      <c r="A4" s="134" t="s">
        <v>31</v>
      </c>
      <c r="B4" s="134"/>
      <c r="C4" s="134"/>
      <c r="D4" s="134"/>
    </row>
    <row r="5" spans="1:10" ht="60" x14ac:dyDescent="0.25">
      <c r="A5" s="90" t="s">
        <v>3</v>
      </c>
      <c r="B5" s="34" t="s">
        <v>121</v>
      </c>
      <c r="C5" s="34" t="s">
        <v>68</v>
      </c>
      <c r="D5" s="34" t="s">
        <v>38</v>
      </c>
    </row>
    <row r="6" spans="1:10" x14ac:dyDescent="0.25">
      <c r="A6" s="37">
        <v>1991</v>
      </c>
      <c r="B6" s="87">
        <f>'[2]Export 02'!B2</f>
        <v>193.2</v>
      </c>
      <c r="C6" s="39">
        <v>34830570</v>
      </c>
      <c r="D6" s="82">
        <f>(B6*1000/C6)</f>
        <v>5.5468515157805339E-3</v>
      </c>
      <c r="F6" s="7" t="s">
        <v>69</v>
      </c>
      <c r="I6" s="1" t="s">
        <v>10</v>
      </c>
      <c r="J6" s="7" t="s">
        <v>70</v>
      </c>
    </row>
    <row r="7" spans="1:10" x14ac:dyDescent="0.25">
      <c r="A7" s="38">
        <v>1992</v>
      </c>
      <c r="B7" s="87">
        <f>'[2]Export 02'!B3</f>
        <v>98.457999999999998</v>
      </c>
      <c r="C7" s="40">
        <v>35520940</v>
      </c>
      <c r="D7" s="82">
        <f t="shared" ref="D7:D30" si="0">(B7*1000/C7)</f>
        <v>2.7718297995492237E-3</v>
      </c>
    </row>
    <row r="8" spans="1:10" x14ac:dyDescent="0.25">
      <c r="A8" s="37">
        <v>1993</v>
      </c>
      <c r="B8" s="87">
        <f>'[2]Export 02'!B4</f>
        <v>189.28800000000001</v>
      </c>
      <c r="C8" s="39">
        <v>36207108</v>
      </c>
      <c r="D8" s="82">
        <f t="shared" si="0"/>
        <v>5.2279237546395589E-3</v>
      </c>
    </row>
    <row r="9" spans="1:10" x14ac:dyDescent="0.25">
      <c r="A9" s="38">
        <v>1994</v>
      </c>
      <c r="B9" s="87">
        <f>'[2]Export 02'!B5</f>
        <v>181.245</v>
      </c>
      <c r="C9" s="40">
        <v>36853905</v>
      </c>
      <c r="D9" s="82">
        <f t="shared" si="0"/>
        <v>4.9179320346107152E-3</v>
      </c>
    </row>
    <row r="10" spans="1:10" x14ac:dyDescent="0.25">
      <c r="A10" s="37">
        <v>1995</v>
      </c>
      <c r="B10" s="87">
        <f>'[2]Export 02'!B6</f>
        <v>318.63600000000002</v>
      </c>
      <c r="C10" s="39">
        <v>37472184</v>
      </c>
      <c r="D10" s="82">
        <f t="shared" si="0"/>
        <v>8.5032673836144702E-3</v>
      </c>
    </row>
    <row r="11" spans="1:10" x14ac:dyDescent="0.25">
      <c r="A11" s="38">
        <v>1996</v>
      </c>
      <c r="B11" s="87">
        <f>'[2]Export 02'!B7</f>
        <v>186.023</v>
      </c>
      <c r="C11" s="40">
        <v>38068050</v>
      </c>
      <c r="D11" s="82">
        <f t="shared" si="0"/>
        <v>4.8865912490920864E-3</v>
      </c>
    </row>
    <row r="12" spans="1:10" x14ac:dyDescent="0.25">
      <c r="A12" s="37">
        <v>1997</v>
      </c>
      <c r="B12" s="87">
        <f>'[2]Export 02'!B8</f>
        <v>299.63900000000001</v>
      </c>
      <c r="C12" s="39">
        <v>38635691</v>
      </c>
      <c r="D12" s="82">
        <f t="shared" si="0"/>
        <v>7.7554973715883583E-3</v>
      </c>
    </row>
    <row r="13" spans="1:10" x14ac:dyDescent="0.25">
      <c r="A13" s="38">
        <v>1998</v>
      </c>
      <c r="B13" s="87">
        <f>'[2]Export 02'!B9</f>
        <v>229.15799999999999</v>
      </c>
      <c r="C13" s="40">
        <v>39184456</v>
      </c>
      <c r="D13" s="82">
        <f t="shared" si="0"/>
        <v>5.8481863318454643E-3</v>
      </c>
    </row>
    <row r="14" spans="1:10" x14ac:dyDescent="0.25">
      <c r="A14" s="37">
        <v>1999</v>
      </c>
      <c r="B14" s="87">
        <f>'[2]Export 02'!B10</f>
        <v>48.418999999999997</v>
      </c>
      <c r="C14" s="39">
        <v>39730798</v>
      </c>
      <c r="D14" s="82">
        <f t="shared" si="0"/>
        <v>1.2186767554983415E-3</v>
      </c>
    </row>
    <row r="15" spans="1:10" x14ac:dyDescent="0.25">
      <c r="A15" s="38">
        <v>2000</v>
      </c>
      <c r="B15" s="87">
        <f>'[2]Export 02'!B11</f>
        <v>130.333</v>
      </c>
      <c r="C15" s="40">
        <v>40295563</v>
      </c>
      <c r="D15" s="82">
        <f t="shared" si="0"/>
        <v>3.2344255867575297E-3</v>
      </c>
    </row>
    <row r="16" spans="1:10" x14ac:dyDescent="0.25">
      <c r="A16" s="37">
        <v>2001</v>
      </c>
      <c r="B16" s="87">
        <f>'[2]Export 02'!B12</f>
        <v>44.466000000000001</v>
      </c>
      <c r="C16" s="39">
        <v>40813541</v>
      </c>
      <c r="D16" s="82">
        <f t="shared" si="0"/>
        <v>1.0894913528821232E-3</v>
      </c>
    </row>
    <row r="17" spans="1:4" x14ac:dyDescent="0.25">
      <c r="A17" s="38">
        <v>2002</v>
      </c>
      <c r="B17" s="87">
        <f>'[2]Export 02'!B13</f>
        <v>1143.337</v>
      </c>
      <c r="C17" s="40">
        <v>41328824</v>
      </c>
      <c r="D17" s="82">
        <f t="shared" si="0"/>
        <v>2.7664397128744821E-2</v>
      </c>
    </row>
    <row r="18" spans="1:4" x14ac:dyDescent="0.25">
      <c r="A18" s="37">
        <v>2003</v>
      </c>
      <c r="B18" s="87">
        <f>'[2]Export 02'!B14</f>
        <v>1736.789</v>
      </c>
      <c r="C18" s="39">
        <v>41848959</v>
      </c>
      <c r="D18" s="82">
        <f t="shared" si="0"/>
        <v>4.1501366855983206E-2</v>
      </c>
    </row>
    <row r="19" spans="1:4" x14ac:dyDescent="0.25">
      <c r="A19" s="38">
        <v>2004</v>
      </c>
      <c r="B19" s="87">
        <f>'[2]Export 02'!B15</f>
        <v>3722.8020000000001</v>
      </c>
      <c r="C19" s="40">
        <v>42368489</v>
      </c>
      <c r="D19" s="82">
        <f t="shared" si="0"/>
        <v>8.7867235482483222E-2</v>
      </c>
    </row>
    <row r="20" spans="1:4" x14ac:dyDescent="0.25">
      <c r="A20" s="37">
        <v>2005</v>
      </c>
      <c r="B20" s="87">
        <f>'[2]Export 02'!B16</f>
        <v>2617.0740000000001</v>
      </c>
      <c r="C20" s="39">
        <v>42888592</v>
      </c>
      <c r="D20" s="82">
        <f t="shared" si="0"/>
        <v>6.1020282503095463E-2</v>
      </c>
    </row>
    <row r="21" spans="1:4" x14ac:dyDescent="0.25">
      <c r="A21" s="38">
        <v>2006</v>
      </c>
      <c r="B21" s="87">
        <f>'[2]Export 02'!B17</f>
        <v>2260.576</v>
      </c>
      <c r="C21" s="40">
        <v>43405956</v>
      </c>
      <c r="D21" s="82">
        <f t="shared" si="0"/>
        <v>5.2079857427860823E-2</v>
      </c>
    </row>
    <row r="22" spans="1:4" x14ac:dyDescent="0.25">
      <c r="A22" s="37">
        <v>2007</v>
      </c>
      <c r="B22" s="87">
        <f>'[2]Export 02'!B18</f>
        <v>1929.002</v>
      </c>
      <c r="C22" s="39">
        <v>43926929</v>
      </c>
      <c r="D22" s="82">
        <f t="shared" si="0"/>
        <v>4.3913882529780311E-2</v>
      </c>
    </row>
    <row r="23" spans="1:4" x14ac:dyDescent="0.25">
      <c r="A23" s="38">
        <v>2008</v>
      </c>
      <c r="B23" s="87">
        <f>'[2]Export 02'!B19</f>
        <v>2543.1509999999998</v>
      </c>
      <c r="C23" s="40">
        <v>44451147</v>
      </c>
      <c r="D23" s="82">
        <f t="shared" si="0"/>
        <v>5.7212269460673308E-2</v>
      </c>
    </row>
    <row r="24" spans="1:4" x14ac:dyDescent="0.25">
      <c r="A24" s="37">
        <v>2009</v>
      </c>
      <c r="B24" s="87">
        <f>'[2]Export 02'!B20</f>
        <v>1629.9090000000001</v>
      </c>
      <c r="C24" s="39">
        <v>44978832</v>
      </c>
      <c r="D24" s="82">
        <f t="shared" si="0"/>
        <v>3.6237246000518641E-2</v>
      </c>
    </row>
    <row r="25" spans="1:4" x14ac:dyDescent="0.25">
      <c r="A25" s="38">
        <v>2010</v>
      </c>
      <c r="B25" s="87">
        <f>'[2]Export 02'!B21</f>
        <v>1239.7750000000001</v>
      </c>
      <c r="C25" s="40">
        <v>45509584</v>
      </c>
      <c r="D25" s="82">
        <f t="shared" si="0"/>
        <v>2.7242064001288167E-2</v>
      </c>
    </row>
    <row r="26" spans="1:4" x14ac:dyDescent="0.25">
      <c r="A26" s="37">
        <v>2011</v>
      </c>
      <c r="B26" s="87">
        <f>'[2]Export 02'!B22</f>
        <v>1556.4110000000001</v>
      </c>
      <c r="C26" s="39">
        <v>46044601</v>
      </c>
      <c r="D26" s="82">
        <f t="shared" si="0"/>
        <v>3.3802247520833113E-2</v>
      </c>
    </row>
    <row r="27" spans="1:4" x14ac:dyDescent="0.25">
      <c r="A27" s="38">
        <v>2012</v>
      </c>
      <c r="B27" s="87">
        <f>'[2]Export 02'!B23</f>
        <v>1228.972</v>
      </c>
      <c r="C27" s="40">
        <v>46581823</v>
      </c>
      <c r="D27" s="82">
        <f t="shared" si="0"/>
        <v>2.6383080799564241E-2</v>
      </c>
    </row>
    <row r="28" spans="1:4" x14ac:dyDescent="0.25">
      <c r="A28" s="37">
        <v>2013</v>
      </c>
      <c r="B28" s="87">
        <f>'[2]Export 02'!B24</f>
        <v>1314.857</v>
      </c>
      <c r="C28" s="39">
        <v>47121089</v>
      </c>
      <c r="D28" s="82">
        <f t="shared" si="0"/>
        <v>2.7903790593634202E-2</v>
      </c>
    </row>
    <row r="29" spans="1:4" x14ac:dyDescent="0.25">
      <c r="A29" s="38">
        <v>2014</v>
      </c>
      <c r="B29" s="87">
        <f>'[2]Export 02'!B25</f>
        <v>2674.6019999999999</v>
      </c>
      <c r="C29" s="40">
        <v>47661787</v>
      </c>
      <c r="D29" s="82">
        <f t="shared" si="0"/>
        <v>5.6116276127036527E-2</v>
      </c>
    </row>
    <row r="30" spans="1:4" x14ac:dyDescent="0.25">
      <c r="A30" s="37">
        <v>2015</v>
      </c>
      <c r="B30" s="87">
        <f>'[2]Export 02'!B26</f>
        <v>3160.4050000000002</v>
      </c>
      <c r="C30" s="39">
        <v>48203405</v>
      </c>
      <c r="D30" s="82">
        <f t="shared" si="0"/>
        <v>6.5563936821475585E-2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90" t="s">
        <v>3</v>
      </c>
      <c r="B35" s="34" t="s">
        <v>33</v>
      </c>
      <c r="C35" s="34" t="s">
        <v>68</v>
      </c>
      <c r="D35" s="34" t="s">
        <v>129</v>
      </c>
    </row>
    <row r="36" spans="1:10" x14ac:dyDescent="0.25">
      <c r="A36" s="37">
        <v>1991</v>
      </c>
      <c r="B36" s="88">
        <f>'[2]Import 02'!B2</f>
        <v>1.488518</v>
      </c>
      <c r="C36" s="39">
        <v>34830570</v>
      </c>
      <c r="D36" s="81">
        <f>(B36/C36)*1000000</f>
        <v>4.2735964412870649E-2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88">
        <f>'[2]Import 02'!B3</f>
        <v>6.3081459999999998</v>
      </c>
      <c r="C37" s="40">
        <v>35520940</v>
      </c>
      <c r="D37" s="81">
        <f t="shared" ref="D37:D60" si="1">(B37/C37)*1000000</f>
        <v>0.17758950072830279</v>
      </c>
    </row>
    <row r="38" spans="1:10" x14ac:dyDescent="0.25">
      <c r="A38" s="37">
        <v>1993</v>
      </c>
      <c r="B38" s="88">
        <f>'[2]Import 02'!B4</f>
        <v>9.1881140000000006</v>
      </c>
      <c r="C38" s="39">
        <v>36207108</v>
      </c>
      <c r="D38" s="81">
        <f t="shared" si="1"/>
        <v>0.25376547610485767</v>
      </c>
    </row>
    <row r="39" spans="1:10" x14ac:dyDescent="0.25">
      <c r="A39" s="38">
        <v>1994</v>
      </c>
      <c r="B39" s="88">
        <f>'[2]Import 02'!B5</f>
        <v>5.7732659999999996</v>
      </c>
      <c r="C39" s="40">
        <v>36853905</v>
      </c>
      <c r="D39" s="81">
        <f t="shared" si="1"/>
        <v>0.1566527617629665</v>
      </c>
    </row>
    <row r="40" spans="1:10" x14ac:dyDescent="0.25">
      <c r="A40" s="37">
        <v>1995</v>
      </c>
      <c r="B40" s="88">
        <f>'[2]Import 02'!B6</f>
        <v>14.381983999999999</v>
      </c>
      <c r="C40" s="39">
        <v>37472184</v>
      </c>
      <c r="D40" s="81">
        <f t="shared" si="1"/>
        <v>0.38380426398418621</v>
      </c>
    </row>
    <row r="41" spans="1:10" x14ac:dyDescent="0.25">
      <c r="A41" s="38">
        <v>1996</v>
      </c>
      <c r="B41" s="88">
        <f>'[2]Import 02'!B7</f>
        <v>9.2738960000000006</v>
      </c>
      <c r="C41" s="40">
        <v>38068050</v>
      </c>
      <c r="D41" s="81">
        <f t="shared" si="1"/>
        <v>0.24361363400541927</v>
      </c>
    </row>
    <row r="42" spans="1:10" x14ac:dyDescent="0.25">
      <c r="A42" s="37">
        <v>1997</v>
      </c>
      <c r="B42" s="88">
        <f>'[2]Import 02'!B8</f>
        <v>13.991676999999999</v>
      </c>
      <c r="C42" s="39">
        <v>38635691</v>
      </c>
      <c r="D42" s="81">
        <f t="shared" si="1"/>
        <v>0.3621438270639446</v>
      </c>
    </row>
    <row r="43" spans="1:10" x14ac:dyDescent="0.25">
      <c r="A43" s="38">
        <v>1998</v>
      </c>
      <c r="B43" s="88">
        <f>'[2]Import 02'!B9</f>
        <v>8.2078140000000008</v>
      </c>
      <c r="C43" s="40">
        <v>39184456</v>
      </c>
      <c r="D43" s="81">
        <f t="shared" si="1"/>
        <v>0.2094660699130288</v>
      </c>
    </row>
    <row r="44" spans="1:10" x14ac:dyDescent="0.25">
      <c r="A44" s="37">
        <v>1999</v>
      </c>
      <c r="B44" s="88">
        <f>'[2]Import 02'!B10</f>
        <v>3.582703</v>
      </c>
      <c r="C44" s="39">
        <v>39730798</v>
      </c>
      <c r="D44" s="81">
        <f t="shared" si="1"/>
        <v>9.0174453581325004E-2</v>
      </c>
    </row>
    <row r="45" spans="1:10" x14ac:dyDescent="0.25">
      <c r="A45" s="38">
        <v>2000</v>
      </c>
      <c r="B45" s="88">
        <f>'[2]Import 02'!B11</f>
        <v>4.2160919999999997</v>
      </c>
      <c r="C45" s="40">
        <v>40295563</v>
      </c>
      <c r="D45" s="81">
        <f t="shared" si="1"/>
        <v>0.10462918708940733</v>
      </c>
    </row>
    <row r="46" spans="1:10" x14ac:dyDescent="0.25">
      <c r="A46" s="37">
        <v>2001</v>
      </c>
      <c r="B46" s="88">
        <f>'[2]Import 02'!B12</f>
        <v>3.6428370000000001</v>
      </c>
      <c r="C46" s="39">
        <v>40813541</v>
      </c>
      <c r="D46" s="81">
        <f t="shared" si="1"/>
        <v>8.9255597792899169E-2</v>
      </c>
    </row>
    <row r="47" spans="1:10" x14ac:dyDescent="0.25">
      <c r="A47" s="38">
        <v>2002</v>
      </c>
      <c r="B47" s="88">
        <f>'[2]Import 02'!B13</f>
        <v>0.99275800000000003</v>
      </c>
      <c r="C47" s="40">
        <v>41328824</v>
      </c>
      <c r="D47" s="81">
        <f t="shared" si="1"/>
        <v>2.4020959318852141E-2</v>
      </c>
    </row>
    <row r="48" spans="1:10" x14ac:dyDescent="0.25">
      <c r="A48" s="37">
        <v>2003</v>
      </c>
      <c r="B48" s="88">
        <f>'[2]Import 02'!B14</f>
        <v>1.186763</v>
      </c>
      <c r="C48" s="39">
        <v>41848959</v>
      </c>
      <c r="D48" s="81">
        <f t="shared" si="1"/>
        <v>2.8358244227771594E-2</v>
      </c>
    </row>
    <row r="49" spans="1:4" x14ac:dyDescent="0.25">
      <c r="A49" s="38">
        <v>2004</v>
      </c>
      <c r="B49" s="88">
        <f>'[2]Import 02'!B15</f>
        <v>2.2491099999999999</v>
      </c>
      <c r="C49" s="40">
        <v>42368489</v>
      </c>
      <c r="D49" s="81">
        <f t="shared" si="1"/>
        <v>5.30844987179033E-2</v>
      </c>
    </row>
    <row r="50" spans="1:4" x14ac:dyDescent="0.25">
      <c r="A50" s="37">
        <v>2005</v>
      </c>
      <c r="B50" s="88">
        <f>'[2]Import 02'!B16</f>
        <v>3.9962680000000002</v>
      </c>
      <c r="C50" s="39">
        <v>42888592</v>
      </c>
      <c r="D50" s="81">
        <f t="shared" si="1"/>
        <v>9.3177878163964917E-2</v>
      </c>
    </row>
    <row r="51" spans="1:4" x14ac:dyDescent="0.25">
      <c r="A51" s="38">
        <v>2006</v>
      </c>
      <c r="B51" s="88">
        <f>'[2]Import 02'!B17</f>
        <v>3.2213280000000002</v>
      </c>
      <c r="C51" s="40">
        <v>43405956</v>
      </c>
      <c r="D51" s="81">
        <f t="shared" si="1"/>
        <v>7.421396271055522E-2</v>
      </c>
    </row>
    <row r="52" spans="1:4" x14ac:dyDescent="0.25">
      <c r="A52" s="37">
        <v>2007</v>
      </c>
      <c r="B52" s="88">
        <f>'[2]Import 02'!B18</f>
        <v>4.4266769999999998</v>
      </c>
      <c r="C52" s="39">
        <v>43926929</v>
      </c>
      <c r="D52" s="81">
        <f t="shared" si="1"/>
        <v>0.10077365071434882</v>
      </c>
    </row>
    <row r="53" spans="1:4" x14ac:dyDescent="0.25">
      <c r="A53" s="38">
        <v>2008</v>
      </c>
      <c r="B53" s="88">
        <f>'[2]Import 02'!B19</f>
        <v>8.3235340000000004</v>
      </c>
      <c r="C53" s="40">
        <v>44451147</v>
      </c>
      <c r="D53" s="81">
        <f t="shared" si="1"/>
        <v>0.18725127610317907</v>
      </c>
    </row>
    <row r="54" spans="1:4" x14ac:dyDescent="0.25">
      <c r="A54" s="37">
        <v>2009</v>
      </c>
      <c r="B54" s="88">
        <f>'[2]Import 02'!B20</f>
        <v>3.0615399999999999</v>
      </c>
      <c r="C54" s="39">
        <v>44978832</v>
      </c>
      <c r="D54" s="81">
        <f t="shared" si="1"/>
        <v>6.8066240581791893E-2</v>
      </c>
    </row>
    <row r="55" spans="1:4" x14ac:dyDescent="0.25">
      <c r="A55" s="38">
        <v>2010</v>
      </c>
      <c r="B55" s="88">
        <f>'[2]Import 02'!B21</f>
        <v>2.009004</v>
      </c>
      <c r="C55" s="40">
        <v>45509584</v>
      </c>
      <c r="D55" s="81">
        <f t="shared" si="1"/>
        <v>4.4144635556325897E-2</v>
      </c>
    </row>
    <row r="56" spans="1:4" x14ac:dyDescent="0.25">
      <c r="A56" s="37">
        <v>2011</v>
      </c>
      <c r="B56" s="88">
        <f>'[2]Import 02'!B22</f>
        <v>3.4654319999999998</v>
      </c>
      <c r="C56" s="39">
        <v>46044601</v>
      </c>
      <c r="D56" s="81">
        <f t="shared" si="1"/>
        <v>7.5262504717979864E-2</v>
      </c>
    </row>
    <row r="57" spans="1:4" x14ac:dyDescent="0.25">
      <c r="A57" s="38">
        <v>2012</v>
      </c>
      <c r="B57" s="88">
        <f>'[2]Import 02'!B23</f>
        <v>17.508887999999999</v>
      </c>
      <c r="C57" s="40">
        <v>46581823</v>
      </c>
      <c r="D57" s="81">
        <f t="shared" si="1"/>
        <v>0.3758738252901781</v>
      </c>
    </row>
    <row r="58" spans="1:4" x14ac:dyDescent="0.25">
      <c r="A58" s="37">
        <v>2013</v>
      </c>
      <c r="B58" s="88">
        <f>'[2]Import 02'!B24</f>
        <v>30.783857000000001</v>
      </c>
      <c r="C58" s="39">
        <v>47121089</v>
      </c>
      <c r="D58" s="81">
        <f t="shared" si="1"/>
        <v>0.65329256291169324</v>
      </c>
    </row>
    <row r="59" spans="1:4" x14ac:dyDescent="0.25">
      <c r="A59" s="38">
        <v>2014</v>
      </c>
      <c r="B59" s="88">
        <f>'[2]Import 02'!B25</f>
        <v>51.005201999999997</v>
      </c>
      <c r="C59" s="40">
        <v>47661787</v>
      </c>
      <c r="D59" s="81">
        <f t="shared" si="1"/>
        <v>1.0701487545987312</v>
      </c>
    </row>
    <row r="60" spans="1:4" x14ac:dyDescent="0.25">
      <c r="A60" s="37">
        <v>2015</v>
      </c>
      <c r="B60" s="88">
        <f>'[2]Import 02'!B26</f>
        <v>45.102443999999998</v>
      </c>
      <c r="C60" s="39">
        <v>48203405</v>
      </c>
      <c r="D60" s="81">
        <f t="shared" si="1"/>
        <v>0.93566925407032964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90" t="s">
        <v>3</v>
      </c>
      <c r="B64" s="34" t="s">
        <v>65</v>
      </c>
      <c r="C64" s="34" t="s">
        <v>68</v>
      </c>
      <c r="D64" s="34" t="s">
        <v>132</v>
      </c>
    </row>
    <row r="65" spans="1:10" x14ac:dyDescent="0.25">
      <c r="A65" s="37">
        <v>1991</v>
      </c>
      <c r="B65" s="88">
        <f>'[2]Apertura 02'!B213</f>
        <v>1.681718</v>
      </c>
      <c r="C65" s="39">
        <v>34830570</v>
      </c>
      <c r="D65" s="35">
        <f>(B65/C65)*1000000</f>
        <v>4.8282815928651183E-2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88">
        <f>'[2]Apertura 02'!B214</f>
        <v>6.4066039999999997</v>
      </c>
      <c r="C66" s="40">
        <v>35520940</v>
      </c>
      <c r="D66" s="35">
        <f t="shared" ref="D66:D89" si="2">(B66/C66)*1000000</f>
        <v>0.18036133052785203</v>
      </c>
    </row>
    <row r="67" spans="1:10" x14ac:dyDescent="0.25">
      <c r="A67" s="37">
        <v>1993</v>
      </c>
      <c r="B67" s="88">
        <f>'[2]Apertura 02'!B215</f>
        <v>9.377402</v>
      </c>
      <c r="C67" s="39">
        <v>36207108</v>
      </c>
      <c r="D67" s="35">
        <f t="shared" si="2"/>
        <v>0.25899339985949721</v>
      </c>
    </row>
    <row r="68" spans="1:10" x14ac:dyDescent="0.25">
      <c r="A68" s="38">
        <v>1994</v>
      </c>
      <c r="B68" s="88">
        <f>'[2]Apertura 02'!B216</f>
        <v>5.9545109999999992</v>
      </c>
      <c r="C68" s="40">
        <v>36853905</v>
      </c>
      <c r="D68" s="35">
        <f t="shared" si="2"/>
        <v>0.16157069379757719</v>
      </c>
    </row>
    <row r="69" spans="1:10" x14ac:dyDescent="0.25">
      <c r="A69" s="37">
        <v>1995</v>
      </c>
      <c r="B69" s="88">
        <f>'[2]Apertura 02'!B217</f>
        <v>14.700619999999999</v>
      </c>
      <c r="C69" s="39">
        <v>37472184</v>
      </c>
      <c r="D69" s="35">
        <f t="shared" si="2"/>
        <v>0.39230753136780072</v>
      </c>
    </row>
    <row r="70" spans="1:10" x14ac:dyDescent="0.25">
      <c r="A70" s="38">
        <v>1996</v>
      </c>
      <c r="B70" s="88">
        <f>'[2]Apertura 02'!B218</f>
        <v>9.4599190000000011</v>
      </c>
      <c r="C70" s="40">
        <v>38068050</v>
      </c>
      <c r="D70" s="35">
        <f t="shared" si="2"/>
        <v>0.24850022525451138</v>
      </c>
    </row>
    <row r="71" spans="1:10" x14ac:dyDescent="0.25">
      <c r="A71" s="37">
        <v>1997</v>
      </c>
      <c r="B71" s="88">
        <f>'[2]Apertura 02'!B219</f>
        <v>14.291315999999998</v>
      </c>
      <c r="C71" s="39">
        <v>38635691</v>
      </c>
      <c r="D71" s="35">
        <f t="shared" si="2"/>
        <v>0.36989932443553286</v>
      </c>
    </row>
    <row r="72" spans="1:10" x14ac:dyDescent="0.25">
      <c r="A72" s="38">
        <v>1998</v>
      </c>
      <c r="B72" s="88">
        <f>'[2]Apertura 02'!B220</f>
        <v>8.4369720000000008</v>
      </c>
      <c r="C72" s="40">
        <v>39184456</v>
      </c>
      <c r="D72" s="35">
        <f t="shared" si="2"/>
        <v>0.21531425624487424</v>
      </c>
    </row>
    <row r="73" spans="1:10" x14ac:dyDescent="0.25">
      <c r="A73" s="37">
        <v>1999</v>
      </c>
      <c r="B73" s="88">
        <f>'[2]Apertura 02'!B221</f>
        <v>3.631122</v>
      </c>
      <c r="C73" s="39">
        <v>39730798</v>
      </c>
      <c r="D73" s="35">
        <f t="shared" si="2"/>
        <v>9.1393130336823336E-2</v>
      </c>
    </row>
    <row r="74" spans="1:10" x14ac:dyDescent="0.25">
      <c r="A74" s="38">
        <v>2000</v>
      </c>
      <c r="B74" s="88">
        <f>'[2]Apertura 02'!B222</f>
        <v>4.346425</v>
      </c>
      <c r="C74" s="40">
        <v>40295563</v>
      </c>
      <c r="D74" s="35">
        <f t="shared" si="2"/>
        <v>0.10786361267616487</v>
      </c>
    </row>
    <row r="75" spans="1:10" x14ac:dyDescent="0.25">
      <c r="A75" s="37">
        <v>2001</v>
      </c>
      <c r="B75" s="88">
        <f>'[2]Apertura 02'!B223</f>
        <v>3.687303</v>
      </c>
      <c r="C75" s="39">
        <v>40813541</v>
      </c>
      <c r="D75" s="35">
        <f t="shared" si="2"/>
        <v>9.0345089145781307E-2</v>
      </c>
    </row>
    <row r="76" spans="1:10" x14ac:dyDescent="0.25">
      <c r="A76" s="38">
        <v>2002</v>
      </c>
      <c r="B76" s="88">
        <f>'[2]Apertura 02'!B224</f>
        <v>2.1360950000000001</v>
      </c>
      <c r="C76" s="40">
        <v>41328824</v>
      </c>
      <c r="D76" s="35">
        <f t="shared" si="2"/>
        <v>5.1685356447596961E-2</v>
      </c>
    </row>
    <row r="77" spans="1:10" x14ac:dyDescent="0.25">
      <c r="A77" s="37">
        <v>2003</v>
      </c>
      <c r="B77" s="88">
        <f>'[2]Apertura 02'!B225</f>
        <v>2.9235519999999999</v>
      </c>
      <c r="C77" s="39">
        <v>41848959</v>
      </c>
      <c r="D77" s="35">
        <f t="shared" si="2"/>
        <v>6.9859611083754797E-2</v>
      </c>
    </row>
    <row r="78" spans="1:10" x14ac:dyDescent="0.25">
      <c r="A78" s="38">
        <v>2004</v>
      </c>
      <c r="B78" s="88">
        <f>'[2]Apertura 02'!B226</f>
        <v>5.9719119999999997</v>
      </c>
      <c r="C78" s="40">
        <v>42368489</v>
      </c>
      <c r="D78" s="35">
        <f t="shared" si="2"/>
        <v>0.14095173420038651</v>
      </c>
    </row>
    <row r="79" spans="1:10" x14ac:dyDescent="0.25">
      <c r="A79" s="37">
        <v>2005</v>
      </c>
      <c r="B79" s="88">
        <f>'[2]Apertura 02'!B227</f>
        <v>6.6133420000000003</v>
      </c>
      <c r="C79" s="39">
        <v>42888592</v>
      </c>
      <c r="D79" s="35">
        <f t="shared" si="2"/>
        <v>0.15419816066706038</v>
      </c>
    </row>
    <row r="80" spans="1:10" x14ac:dyDescent="0.25">
      <c r="A80" s="38">
        <v>2006</v>
      </c>
      <c r="B80" s="88">
        <f>'[2]Apertura 02'!B228</f>
        <v>5.4819040000000001</v>
      </c>
      <c r="C80" s="40">
        <v>43405956</v>
      </c>
      <c r="D80" s="35">
        <f t="shared" si="2"/>
        <v>0.12629382013841603</v>
      </c>
    </row>
    <row r="81" spans="1:4" x14ac:dyDescent="0.25">
      <c r="A81" s="37">
        <v>2007</v>
      </c>
      <c r="B81" s="88">
        <f>'[2]Apertura 02'!B229</f>
        <v>6.3556789999999994</v>
      </c>
      <c r="C81" s="39">
        <v>43926929</v>
      </c>
      <c r="D81" s="35">
        <f t="shared" si="2"/>
        <v>0.14468753324412911</v>
      </c>
    </row>
    <row r="82" spans="1:4" x14ac:dyDescent="0.25">
      <c r="A82" s="38">
        <v>2008</v>
      </c>
      <c r="B82" s="88">
        <f>'[2]Apertura 02'!B230</f>
        <v>10.866685</v>
      </c>
      <c r="C82" s="40">
        <v>44451147</v>
      </c>
      <c r="D82" s="35">
        <f t="shared" si="2"/>
        <v>0.24446354556385236</v>
      </c>
    </row>
    <row r="83" spans="1:4" x14ac:dyDescent="0.25">
      <c r="A83" s="37">
        <v>2009</v>
      </c>
      <c r="B83" s="88">
        <f>'[2]Apertura 02'!B231</f>
        <v>4.6914490000000004</v>
      </c>
      <c r="C83" s="39">
        <v>44978832</v>
      </c>
      <c r="D83" s="35">
        <f t="shared" si="2"/>
        <v>0.10430348658231055</v>
      </c>
    </row>
    <row r="84" spans="1:4" x14ac:dyDescent="0.25">
      <c r="A84" s="38">
        <v>2010</v>
      </c>
      <c r="B84" s="88">
        <f>'[2]Apertura 02'!B232</f>
        <v>3.2487789999999999</v>
      </c>
      <c r="C84" s="40">
        <v>45509584</v>
      </c>
      <c r="D84" s="35">
        <f t="shared" si="2"/>
        <v>7.138669955761405E-2</v>
      </c>
    </row>
    <row r="85" spans="1:4" x14ac:dyDescent="0.25">
      <c r="A85" s="37">
        <v>2011</v>
      </c>
      <c r="B85" s="88">
        <f>'[2]Apertura 02'!B233</f>
        <v>5.0218429999999996</v>
      </c>
      <c r="C85" s="39">
        <v>46044601</v>
      </c>
      <c r="D85" s="35">
        <f t="shared" si="2"/>
        <v>0.10906475223881296</v>
      </c>
    </row>
    <row r="86" spans="1:4" x14ac:dyDescent="0.25">
      <c r="A86" s="38">
        <v>2012</v>
      </c>
      <c r="B86" s="88">
        <f>'[2]Apertura 02'!B234</f>
        <v>18.737859999999998</v>
      </c>
      <c r="C86" s="40">
        <v>46581823</v>
      </c>
      <c r="D86" s="35">
        <f t="shared" si="2"/>
        <v>0.40225690608974229</v>
      </c>
    </row>
    <row r="87" spans="1:4" x14ac:dyDescent="0.25">
      <c r="A87" s="37">
        <v>2013</v>
      </c>
      <c r="B87" s="88">
        <f>'[2]Apertura 02'!B235</f>
        <v>32.098714000000001</v>
      </c>
      <c r="C87" s="39">
        <v>47121089</v>
      </c>
      <c r="D87" s="35">
        <f t="shared" si="2"/>
        <v>0.68119635350532748</v>
      </c>
    </row>
    <row r="88" spans="1:4" x14ac:dyDescent="0.25">
      <c r="A88" s="38">
        <v>2014</v>
      </c>
      <c r="B88" s="88">
        <f>'[2]Apertura 02'!B236</f>
        <v>53.679803999999997</v>
      </c>
      <c r="C88" s="40">
        <v>47661787</v>
      </c>
      <c r="D88" s="35">
        <f t="shared" si="2"/>
        <v>1.1262650307257678</v>
      </c>
    </row>
    <row r="89" spans="1:4" x14ac:dyDescent="0.25">
      <c r="A89" s="37">
        <v>2015</v>
      </c>
      <c r="B89" s="88">
        <f>'[2]Apertura 02'!B237</f>
        <v>48.262848999999996</v>
      </c>
      <c r="C89" s="39">
        <v>48203405</v>
      </c>
      <c r="D89" s="35">
        <f t="shared" si="2"/>
        <v>1.0012331908918051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90" t="s">
        <v>3</v>
      </c>
      <c r="B96" s="34" t="s">
        <v>8</v>
      </c>
      <c r="C96" s="34" t="s">
        <v>35</v>
      </c>
      <c r="D96" s="34" t="s">
        <v>38</v>
      </c>
    </row>
    <row r="97" spans="1:11" x14ac:dyDescent="0.25">
      <c r="A97" s="37">
        <v>1991</v>
      </c>
      <c r="B97" s="88">
        <f>B36</f>
        <v>1.488518</v>
      </c>
      <c r="C97" s="39">
        <v>253620000</v>
      </c>
      <c r="D97" s="68">
        <f>(B97/C97)*1000000</f>
        <v>5.8690876113871148E-3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88">
        <f t="shared" ref="B98:B121" si="3">B37</f>
        <v>6.3081459999999998</v>
      </c>
      <c r="C98" s="40">
        <v>256516000</v>
      </c>
      <c r="D98" s="68">
        <f t="shared" ref="D98:D121" si="4">(B98/C98)*1000000</f>
        <v>2.4591627812690045E-2</v>
      </c>
    </row>
    <row r="99" spans="1:11" x14ac:dyDescent="0.25">
      <c r="A99" s="37">
        <v>1993</v>
      </c>
      <c r="B99" s="88">
        <f t="shared" si="3"/>
        <v>9.1881140000000006</v>
      </c>
      <c r="C99" s="39">
        <v>259131000</v>
      </c>
      <c r="D99" s="68">
        <f t="shared" si="4"/>
        <v>3.5457409572764359E-2</v>
      </c>
    </row>
    <row r="100" spans="1:11" x14ac:dyDescent="0.25">
      <c r="A100" s="38">
        <v>1994</v>
      </c>
      <c r="B100" s="88">
        <f t="shared" si="3"/>
        <v>5.7732659999999996</v>
      </c>
      <c r="C100" s="40">
        <v>264061000</v>
      </c>
      <c r="D100" s="68">
        <f t="shared" si="4"/>
        <v>2.186338005233639E-2</v>
      </c>
    </row>
    <row r="101" spans="1:11" x14ac:dyDescent="0.25">
      <c r="A101" s="37">
        <v>1995</v>
      </c>
      <c r="B101" s="88">
        <f t="shared" si="3"/>
        <v>14.381983999999999</v>
      </c>
      <c r="C101" s="39">
        <v>266398000</v>
      </c>
      <c r="D101" s="68">
        <f t="shared" si="4"/>
        <v>5.3986831732970961E-2</v>
      </c>
    </row>
    <row r="102" spans="1:11" x14ac:dyDescent="0.25">
      <c r="A102" s="38">
        <v>1996</v>
      </c>
      <c r="B102" s="88">
        <f t="shared" si="3"/>
        <v>9.2738960000000006</v>
      </c>
      <c r="C102" s="40">
        <v>268930000</v>
      </c>
      <c r="D102" s="68">
        <f t="shared" si="4"/>
        <v>3.4484423455917901E-2</v>
      </c>
    </row>
    <row r="103" spans="1:11" x14ac:dyDescent="0.25">
      <c r="A103" s="37">
        <v>1997</v>
      </c>
      <c r="B103" s="88">
        <f t="shared" si="3"/>
        <v>13.991676999999999</v>
      </c>
      <c r="C103" s="39">
        <v>271387000</v>
      </c>
      <c r="D103" s="68">
        <f t="shared" si="4"/>
        <v>5.1556179920187774E-2</v>
      </c>
    </row>
    <row r="104" spans="1:11" x14ac:dyDescent="0.25">
      <c r="A104" s="38">
        <v>1998</v>
      </c>
      <c r="B104" s="88">
        <f t="shared" si="3"/>
        <v>8.2078140000000008</v>
      </c>
      <c r="C104" s="40">
        <v>271584000</v>
      </c>
      <c r="D104" s="68">
        <f t="shared" si="4"/>
        <v>3.0222008660303997E-2</v>
      </c>
    </row>
    <row r="105" spans="1:11" x14ac:dyDescent="0.25">
      <c r="A105" s="37">
        <v>1999</v>
      </c>
      <c r="B105" s="88">
        <f t="shared" si="3"/>
        <v>3.582703</v>
      </c>
      <c r="C105" s="39">
        <v>274024000</v>
      </c>
      <c r="D105" s="68">
        <f t="shared" si="4"/>
        <v>1.3074413190085539E-2</v>
      </c>
    </row>
    <row r="106" spans="1:11" x14ac:dyDescent="0.25">
      <c r="A106" s="38">
        <v>2000</v>
      </c>
      <c r="B106" s="88">
        <f t="shared" si="3"/>
        <v>4.2160919999999997</v>
      </c>
      <c r="C106" s="40">
        <v>284968955</v>
      </c>
      <c r="D106" s="68">
        <f t="shared" si="4"/>
        <v>1.4794916870857037E-2</v>
      </c>
    </row>
    <row r="107" spans="1:11" x14ac:dyDescent="0.25">
      <c r="A107" s="37">
        <v>2001</v>
      </c>
      <c r="B107" s="88">
        <f t="shared" si="3"/>
        <v>3.6428370000000001</v>
      </c>
      <c r="C107" s="39">
        <v>287625193</v>
      </c>
      <c r="D107" s="68">
        <f t="shared" si="4"/>
        <v>1.2665222270707002E-2</v>
      </c>
    </row>
    <row r="108" spans="1:11" x14ac:dyDescent="0.25">
      <c r="A108" s="38">
        <v>2002</v>
      </c>
      <c r="B108" s="88">
        <f t="shared" si="3"/>
        <v>0.99275800000000003</v>
      </c>
      <c r="C108" s="40">
        <v>290107933</v>
      </c>
      <c r="D108" s="68">
        <f t="shared" si="4"/>
        <v>3.4220298277744788E-3</v>
      </c>
    </row>
    <row r="109" spans="1:11" x14ac:dyDescent="0.25">
      <c r="A109" s="37">
        <v>2003</v>
      </c>
      <c r="B109" s="88">
        <f t="shared" si="3"/>
        <v>1.186763</v>
      </c>
      <c r="C109" s="39">
        <v>292805298</v>
      </c>
      <c r="D109" s="68">
        <f t="shared" si="4"/>
        <v>4.0530789849301157E-3</v>
      </c>
    </row>
    <row r="110" spans="1:11" x14ac:dyDescent="0.25">
      <c r="A110" s="38">
        <v>2004</v>
      </c>
      <c r="B110" s="88">
        <f t="shared" si="3"/>
        <v>2.2491099999999999</v>
      </c>
      <c r="C110" s="40">
        <v>295516599</v>
      </c>
      <c r="D110" s="68">
        <f t="shared" si="4"/>
        <v>7.6107738367684708E-3</v>
      </c>
    </row>
    <row r="111" spans="1:11" x14ac:dyDescent="0.25">
      <c r="A111" s="37">
        <v>2005</v>
      </c>
      <c r="B111" s="88">
        <f t="shared" si="3"/>
        <v>3.9962680000000002</v>
      </c>
      <c r="C111" s="39">
        <v>298379912</v>
      </c>
      <c r="D111" s="68">
        <f t="shared" si="4"/>
        <v>1.3393220653540511E-2</v>
      </c>
    </row>
    <row r="112" spans="1:11" x14ac:dyDescent="0.25">
      <c r="A112" s="38">
        <v>2006</v>
      </c>
      <c r="B112" s="88">
        <f t="shared" si="3"/>
        <v>3.2213280000000002</v>
      </c>
      <c r="C112" s="40">
        <v>301231207</v>
      </c>
      <c r="D112" s="68">
        <f t="shared" si="4"/>
        <v>1.0693872099380461E-2</v>
      </c>
    </row>
    <row r="113" spans="1:11" x14ac:dyDescent="0.25">
      <c r="A113" s="37">
        <v>2007</v>
      </c>
      <c r="B113" s="88">
        <f t="shared" si="3"/>
        <v>4.4266769999999998</v>
      </c>
      <c r="C113" s="39">
        <v>304093966</v>
      </c>
      <c r="D113" s="68">
        <f t="shared" si="4"/>
        <v>1.4556937969627452E-2</v>
      </c>
    </row>
    <row r="114" spans="1:11" x14ac:dyDescent="0.25">
      <c r="A114" s="38">
        <v>2008</v>
      </c>
      <c r="B114" s="88">
        <f t="shared" si="3"/>
        <v>8.3235340000000004</v>
      </c>
      <c r="C114" s="40">
        <v>306771529</v>
      </c>
      <c r="D114" s="68">
        <f t="shared" si="4"/>
        <v>2.7132680881868931E-2</v>
      </c>
    </row>
    <row r="115" spans="1:11" x14ac:dyDescent="0.25">
      <c r="A115" s="37">
        <v>2009</v>
      </c>
      <c r="B115" s="88">
        <f t="shared" si="3"/>
        <v>3.0615399999999999</v>
      </c>
      <c r="C115" s="39">
        <v>308745538</v>
      </c>
      <c r="D115" s="68">
        <f t="shared" si="4"/>
        <v>9.9160623335065E-3</v>
      </c>
    </row>
    <row r="116" spans="1:11" x14ac:dyDescent="0.25">
      <c r="A116" s="38">
        <v>2010</v>
      </c>
      <c r="B116" s="88">
        <f t="shared" si="3"/>
        <v>2.009004</v>
      </c>
      <c r="C116" s="40">
        <v>309347057</v>
      </c>
      <c r="D116" s="68">
        <f t="shared" si="4"/>
        <v>6.4943368767849631E-3</v>
      </c>
    </row>
    <row r="117" spans="1:11" x14ac:dyDescent="0.25">
      <c r="A117" s="37">
        <v>2011</v>
      </c>
      <c r="B117" s="88">
        <f t="shared" si="3"/>
        <v>3.4654319999999998</v>
      </c>
      <c r="C117" s="39">
        <v>311721632</v>
      </c>
      <c r="D117" s="68">
        <f t="shared" si="4"/>
        <v>1.1117072555298311E-2</v>
      </c>
    </row>
    <row r="118" spans="1:11" x14ac:dyDescent="0.25">
      <c r="A118" s="38">
        <v>2012</v>
      </c>
      <c r="B118" s="88">
        <f t="shared" si="3"/>
        <v>17.508887999999999</v>
      </c>
      <c r="C118" s="40">
        <v>314112078</v>
      </c>
      <c r="D118" s="68">
        <f t="shared" si="4"/>
        <v>5.5740893860184514E-2</v>
      </c>
    </row>
    <row r="119" spans="1:11" x14ac:dyDescent="0.25">
      <c r="A119" s="37">
        <v>2013</v>
      </c>
      <c r="B119" s="88">
        <f t="shared" si="3"/>
        <v>30.783857000000001</v>
      </c>
      <c r="C119" s="39">
        <v>316497531</v>
      </c>
      <c r="D119" s="68">
        <f t="shared" si="4"/>
        <v>9.7264130000432769E-2</v>
      </c>
    </row>
    <row r="120" spans="1:11" x14ac:dyDescent="0.25">
      <c r="A120" s="38">
        <v>2014</v>
      </c>
      <c r="B120" s="88">
        <f t="shared" si="3"/>
        <v>51.005201999999997</v>
      </c>
      <c r="C120" s="40">
        <v>318857056</v>
      </c>
      <c r="D120" s="68">
        <f t="shared" si="4"/>
        <v>0.15996259464930893</v>
      </c>
    </row>
    <row r="121" spans="1:11" x14ac:dyDescent="0.25">
      <c r="A121" s="37">
        <v>2015</v>
      </c>
      <c r="B121" s="88">
        <f t="shared" si="3"/>
        <v>45.102443999999998</v>
      </c>
      <c r="C121" s="39">
        <v>321418820</v>
      </c>
      <c r="D121" s="68">
        <f t="shared" si="4"/>
        <v>0.14032297175380085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</row>
    <row r="126" spans="1:11" ht="60" x14ac:dyDescent="0.25">
      <c r="A126" s="90" t="s">
        <v>3</v>
      </c>
      <c r="B126" s="34" t="s">
        <v>130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>
        <f>B6</f>
        <v>193.2</v>
      </c>
      <c r="C127" s="39">
        <v>253620000</v>
      </c>
      <c r="D127" s="81">
        <f>(B127*1000/C127)</f>
        <v>7.6176957653181928E-4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69">
        <f t="shared" ref="B128:B151" si="5">B7</f>
        <v>98.457999999999998</v>
      </c>
      <c r="C128" s="40">
        <v>256516000</v>
      </c>
      <c r="D128" s="81">
        <f t="shared" ref="D128:D151" si="6">(B128*1000/C128)</f>
        <v>3.8382790937017573E-4</v>
      </c>
    </row>
    <row r="129" spans="1:4" x14ac:dyDescent="0.25">
      <c r="A129" s="37">
        <v>1993</v>
      </c>
      <c r="B129" s="69">
        <f t="shared" si="5"/>
        <v>189.28800000000001</v>
      </c>
      <c r="C129" s="39">
        <v>259131000</v>
      </c>
      <c r="D129" s="81">
        <f t="shared" si="6"/>
        <v>7.3047223219143982E-4</v>
      </c>
    </row>
    <row r="130" spans="1:4" x14ac:dyDescent="0.25">
      <c r="A130" s="38">
        <v>1994</v>
      </c>
      <c r="B130" s="69">
        <f t="shared" si="5"/>
        <v>181.245</v>
      </c>
      <c r="C130" s="40">
        <v>264061000</v>
      </c>
      <c r="D130" s="81">
        <f t="shared" si="6"/>
        <v>6.8637549657086811E-4</v>
      </c>
    </row>
    <row r="131" spans="1:4" x14ac:dyDescent="0.25">
      <c r="A131" s="37">
        <v>1995</v>
      </c>
      <c r="B131" s="69">
        <f t="shared" si="5"/>
        <v>318.63600000000002</v>
      </c>
      <c r="C131" s="39">
        <v>266398000</v>
      </c>
      <c r="D131" s="81">
        <f t="shared" si="6"/>
        <v>1.1960900607361918E-3</v>
      </c>
    </row>
    <row r="132" spans="1:4" x14ac:dyDescent="0.25">
      <c r="A132" s="38">
        <v>1996</v>
      </c>
      <c r="B132" s="69">
        <f t="shared" si="5"/>
        <v>186.023</v>
      </c>
      <c r="C132" s="40">
        <v>268930000</v>
      </c>
      <c r="D132" s="81">
        <f t="shared" si="6"/>
        <v>6.9171531625330011E-4</v>
      </c>
    </row>
    <row r="133" spans="1:4" x14ac:dyDescent="0.25">
      <c r="A133" s="37">
        <v>1997</v>
      </c>
      <c r="B133" s="69">
        <f t="shared" si="5"/>
        <v>299.63900000000001</v>
      </c>
      <c r="C133" s="39">
        <v>271387000</v>
      </c>
      <c r="D133" s="81">
        <f t="shared" si="6"/>
        <v>1.1041022598724331E-3</v>
      </c>
    </row>
    <row r="134" spans="1:4" x14ac:dyDescent="0.25">
      <c r="A134" s="38">
        <v>1998</v>
      </c>
      <c r="B134" s="69">
        <f t="shared" si="5"/>
        <v>229.15799999999999</v>
      </c>
      <c r="C134" s="40">
        <v>271584000</v>
      </c>
      <c r="D134" s="81">
        <f t="shared" si="6"/>
        <v>8.4378313891834565E-4</v>
      </c>
    </row>
    <row r="135" spans="1:4" x14ac:dyDescent="0.25">
      <c r="A135" s="37">
        <v>1999</v>
      </c>
      <c r="B135" s="69">
        <f t="shared" si="5"/>
        <v>48.418999999999997</v>
      </c>
      <c r="C135" s="39">
        <v>274024000</v>
      </c>
      <c r="D135" s="81">
        <f t="shared" si="6"/>
        <v>1.7669620179254372E-4</v>
      </c>
    </row>
    <row r="136" spans="1:4" x14ac:dyDescent="0.25">
      <c r="A136" s="38">
        <v>2000</v>
      </c>
      <c r="B136" s="69">
        <f t="shared" si="5"/>
        <v>130.333</v>
      </c>
      <c r="C136" s="40">
        <v>284968955</v>
      </c>
      <c r="D136" s="81">
        <f t="shared" si="6"/>
        <v>4.5735859192100418E-4</v>
      </c>
    </row>
    <row r="137" spans="1:4" x14ac:dyDescent="0.25">
      <c r="A137" s="37">
        <v>2001</v>
      </c>
      <c r="B137" s="69">
        <f t="shared" si="5"/>
        <v>44.466000000000001</v>
      </c>
      <c r="C137" s="39">
        <v>287625193</v>
      </c>
      <c r="D137" s="81">
        <f t="shared" si="6"/>
        <v>1.5459702794532327E-4</v>
      </c>
    </row>
    <row r="138" spans="1:4" x14ac:dyDescent="0.25">
      <c r="A138" s="38">
        <v>2002</v>
      </c>
      <c r="B138" s="69">
        <f t="shared" si="5"/>
        <v>1143.337</v>
      </c>
      <c r="C138" s="40">
        <v>290107933</v>
      </c>
      <c r="D138" s="81">
        <f t="shared" si="6"/>
        <v>3.9410745793014906E-3</v>
      </c>
    </row>
    <row r="139" spans="1:4" x14ac:dyDescent="0.25">
      <c r="A139" s="37">
        <v>2003</v>
      </c>
      <c r="B139" s="69">
        <f t="shared" si="5"/>
        <v>1736.789</v>
      </c>
      <c r="C139" s="39">
        <v>292805298</v>
      </c>
      <c r="D139" s="81">
        <f t="shared" si="6"/>
        <v>5.9315490937599091E-3</v>
      </c>
    </row>
    <row r="140" spans="1:4" x14ac:dyDescent="0.25">
      <c r="A140" s="38">
        <v>2004</v>
      </c>
      <c r="B140" s="69">
        <f t="shared" si="5"/>
        <v>3722.8020000000001</v>
      </c>
      <c r="C140" s="40">
        <v>295516599</v>
      </c>
      <c r="D140" s="81">
        <f t="shared" si="6"/>
        <v>1.259760708060937E-2</v>
      </c>
    </row>
    <row r="141" spans="1:4" x14ac:dyDescent="0.25">
      <c r="A141" s="37">
        <v>2005</v>
      </c>
      <c r="B141" s="69">
        <f t="shared" si="5"/>
        <v>2617.0740000000001</v>
      </c>
      <c r="C141" s="39">
        <v>298379912</v>
      </c>
      <c r="D141" s="81">
        <f t="shared" si="6"/>
        <v>8.7709456794799242E-3</v>
      </c>
    </row>
    <row r="142" spans="1:4" x14ac:dyDescent="0.25">
      <c r="A142" s="38">
        <v>2006</v>
      </c>
      <c r="B142" s="69">
        <f t="shared" si="5"/>
        <v>2260.576</v>
      </c>
      <c r="C142" s="40">
        <v>301231207</v>
      </c>
      <c r="D142" s="81">
        <f t="shared" si="6"/>
        <v>7.5044548754206603E-3</v>
      </c>
    </row>
    <row r="143" spans="1:4" x14ac:dyDescent="0.25">
      <c r="A143" s="37">
        <v>2007</v>
      </c>
      <c r="B143" s="69">
        <f t="shared" si="5"/>
        <v>1929.002</v>
      </c>
      <c r="C143" s="39">
        <v>304093966</v>
      </c>
      <c r="D143" s="81">
        <f t="shared" si="6"/>
        <v>6.3434405666569519E-3</v>
      </c>
    </row>
    <row r="144" spans="1:4" x14ac:dyDescent="0.25">
      <c r="A144" s="38">
        <v>2008</v>
      </c>
      <c r="B144" s="69">
        <f t="shared" si="5"/>
        <v>2543.1509999999998</v>
      </c>
      <c r="C144" s="40">
        <v>306771529</v>
      </c>
      <c r="D144" s="81">
        <f t="shared" si="6"/>
        <v>8.2900489764811264E-3</v>
      </c>
    </row>
    <row r="145" spans="1:10" x14ac:dyDescent="0.25">
      <c r="A145" s="37">
        <v>2009</v>
      </c>
      <c r="B145" s="69">
        <f t="shared" si="5"/>
        <v>1629.9090000000001</v>
      </c>
      <c r="C145" s="39">
        <v>308745538</v>
      </c>
      <c r="D145" s="81">
        <f t="shared" si="6"/>
        <v>5.2791337829795615E-3</v>
      </c>
    </row>
    <row r="146" spans="1:10" x14ac:dyDescent="0.25">
      <c r="A146" s="38">
        <v>2010</v>
      </c>
      <c r="B146" s="69">
        <f t="shared" si="5"/>
        <v>1239.7750000000001</v>
      </c>
      <c r="C146" s="40">
        <v>309347057</v>
      </c>
      <c r="D146" s="81">
        <f t="shared" si="6"/>
        <v>4.0077155154574495E-3</v>
      </c>
    </row>
    <row r="147" spans="1:10" x14ac:dyDescent="0.25">
      <c r="A147" s="37">
        <v>2011</v>
      </c>
      <c r="B147" s="69">
        <f t="shared" si="5"/>
        <v>1556.4110000000001</v>
      </c>
      <c r="C147" s="39">
        <v>311721632</v>
      </c>
      <c r="D147" s="81">
        <f t="shared" si="6"/>
        <v>4.9929515318333766E-3</v>
      </c>
    </row>
    <row r="148" spans="1:10" x14ac:dyDescent="0.25">
      <c r="A148" s="38">
        <v>2012</v>
      </c>
      <c r="B148" s="69">
        <f t="shared" si="5"/>
        <v>1228.972</v>
      </c>
      <c r="C148" s="40">
        <v>314112078</v>
      </c>
      <c r="D148" s="81">
        <f t="shared" si="6"/>
        <v>3.9125270439298422E-3</v>
      </c>
    </row>
    <row r="149" spans="1:10" x14ac:dyDescent="0.25">
      <c r="A149" s="37">
        <v>2013</v>
      </c>
      <c r="B149" s="69">
        <f t="shared" si="5"/>
        <v>1314.857</v>
      </c>
      <c r="C149" s="39">
        <v>316497531</v>
      </c>
      <c r="D149" s="81">
        <f t="shared" si="6"/>
        <v>4.1543989169381549E-3</v>
      </c>
    </row>
    <row r="150" spans="1:10" x14ac:dyDescent="0.25">
      <c r="A150" s="38">
        <v>2014</v>
      </c>
      <c r="B150" s="69">
        <f t="shared" si="5"/>
        <v>2674.6019999999999</v>
      </c>
      <c r="C150" s="40">
        <v>318857056</v>
      </c>
      <c r="D150" s="81">
        <f t="shared" si="6"/>
        <v>8.3880909946054318E-3</v>
      </c>
    </row>
    <row r="151" spans="1:10" x14ac:dyDescent="0.25">
      <c r="A151" s="37">
        <v>2015</v>
      </c>
      <c r="B151" s="69">
        <f t="shared" si="5"/>
        <v>3160.4050000000002</v>
      </c>
      <c r="C151" s="39">
        <v>321418820</v>
      </c>
      <c r="D151" s="81">
        <f t="shared" si="6"/>
        <v>9.8326694124507077E-3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90" t="s">
        <v>3</v>
      </c>
      <c r="B155" s="34" t="s">
        <v>67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88">
        <f>B65</f>
        <v>1.681718</v>
      </c>
      <c r="C156" s="39">
        <v>253620000</v>
      </c>
      <c r="D156" s="81">
        <f>(B156/C156)*1000000</f>
        <v>6.6308571879189334E-3</v>
      </c>
    </row>
    <row r="157" spans="1:10" x14ac:dyDescent="0.25">
      <c r="A157" s="38">
        <v>1992</v>
      </c>
      <c r="B157" s="88">
        <f t="shared" ref="B157:B180" si="7">B66</f>
        <v>6.4066039999999997</v>
      </c>
      <c r="C157" s="40">
        <v>256516000</v>
      </c>
      <c r="D157" s="81">
        <f t="shared" ref="D157:D180" si="8">(B157/C157)*1000000</f>
        <v>2.4975455722060221E-2</v>
      </c>
    </row>
    <row r="158" spans="1:10" x14ac:dyDescent="0.25">
      <c r="A158" s="37">
        <v>1993</v>
      </c>
      <c r="B158" s="88">
        <f t="shared" si="7"/>
        <v>9.377402</v>
      </c>
      <c r="C158" s="39">
        <v>259131000</v>
      </c>
      <c r="D158" s="81">
        <f t="shared" si="8"/>
        <v>3.6187881804955795E-2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88">
        <f t="shared" si="7"/>
        <v>5.9545109999999992</v>
      </c>
      <c r="C159" s="40">
        <v>264061000</v>
      </c>
      <c r="D159" s="81">
        <f t="shared" si="8"/>
        <v>2.2549755548907258E-2</v>
      </c>
    </row>
    <row r="160" spans="1:10" x14ac:dyDescent="0.25">
      <c r="A160" s="37">
        <v>1995</v>
      </c>
      <c r="B160" s="88">
        <f t="shared" si="7"/>
        <v>14.700619999999999</v>
      </c>
      <c r="C160" s="39">
        <v>266398000</v>
      </c>
      <c r="D160" s="81">
        <f t="shared" si="8"/>
        <v>5.5182921793707158E-2</v>
      </c>
    </row>
    <row r="161" spans="1:4" x14ac:dyDescent="0.25">
      <c r="A161" s="38">
        <v>1996</v>
      </c>
      <c r="B161" s="88">
        <f t="shared" si="7"/>
        <v>9.4599190000000011</v>
      </c>
      <c r="C161" s="40">
        <v>268930000</v>
      </c>
      <c r="D161" s="81">
        <f t="shared" si="8"/>
        <v>3.5176138772171205E-2</v>
      </c>
    </row>
    <row r="162" spans="1:4" x14ac:dyDescent="0.25">
      <c r="A162" s="37">
        <v>1997</v>
      </c>
      <c r="B162" s="88">
        <f t="shared" si="7"/>
        <v>14.291315999999998</v>
      </c>
      <c r="C162" s="39">
        <v>271387000</v>
      </c>
      <c r="D162" s="81">
        <f t="shared" si="8"/>
        <v>5.2660282180060206E-2</v>
      </c>
    </row>
    <row r="163" spans="1:4" x14ac:dyDescent="0.25">
      <c r="A163" s="38">
        <v>1998</v>
      </c>
      <c r="B163" s="88">
        <f t="shared" si="7"/>
        <v>8.4369720000000008</v>
      </c>
      <c r="C163" s="40">
        <v>271584000</v>
      </c>
      <c r="D163" s="81">
        <f t="shared" si="8"/>
        <v>3.1065791799222343E-2</v>
      </c>
    </row>
    <row r="164" spans="1:4" x14ac:dyDescent="0.25">
      <c r="A164" s="37">
        <v>1999</v>
      </c>
      <c r="B164" s="88">
        <f t="shared" si="7"/>
        <v>3.631122</v>
      </c>
      <c r="C164" s="39">
        <v>274024000</v>
      </c>
      <c r="D164" s="81">
        <f t="shared" si="8"/>
        <v>1.3251109391878083E-2</v>
      </c>
    </row>
    <row r="165" spans="1:4" x14ac:dyDescent="0.25">
      <c r="A165" s="38">
        <v>2000</v>
      </c>
      <c r="B165" s="88">
        <f t="shared" si="7"/>
        <v>4.346425</v>
      </c>
      <c r="C165" s="40">
        <v>284968955</v>
      </c>
      <c r="D165" s="81">
        <f t="shared" si="8"/>
        <v>1.5252275462778041E-2</v>
      </c>
    </row>
    <row r="166" spans="1:4" x14ac:dyDescent="0.25">
      <c r="A166" s="37">
        <v>2001</v>
      </c>
      <c r="B166" s="88">
        <f t="shared" si="7"/>
        <v>3.687303</v>
      </c>
      <c r="C166" s="39">
        <v>287625193</v>
      </c>
      <c r="D166" s="81">
        <f t="shared" si="8"/>
        <v>1.2819819298652326E-2</v>
      </c>
    </row>
    <row r="167" spans="1:4" x14ac:dyDescent="0.25">
      <c r="A167" s="38">
        <v>2002</v>
      </c>
      <c r="B167" s="88">
        <f t="shared" si="7"/>
        <v>2.1360950000000001</v>
      </c>
      <c r="C167" s="40">
        <v>290107933</v>
      </c>
      <c r="D167" s="81">
        <f t="shared" si="8"/>
        <v>7.3631044070759698E-3</v>
      </c>
    </row>
    <row r="168" spans="1:4" x14ac:dyDescent="0.25">
      <c r="A168" s="37">
        <v>2003</v>
      </c>
      <c r="B168" s="88">
        <f t="shared" si="7"/>
        <v>2.9235519999999999</v>
      </c>
      <c r="C168" s="39">
        <v>292805298</v>
      </c>
      <c r="D168" s="81">
        <f t="shared" si="8"/>
        <v>9.9846280786900238E-3</v>
      </c>
    </row>
    <row r="169" spans="1:4" x14ac:dyDescent="0.25">
      <c r="A169" s="38">
        <v>2004</v>
      </c>
      <c r="B169" s="88">
        <f t="shared" si="7"/>
        <v>5.9719119999999997</v>
      </c>
      <c r="C169" s="40">
        <v>295516599</v>
      </c>
      <c r="D169" s="81">
        <f t="shared" si="8"/>
        <v>2.0208380917377842E-2</v>
      </c>
    </row>
    <row r="170" spans="1:4" x14ac:dyDescent="0.25">
      <c r="A170" s="37">
        <v>2005</v>
      </c>
      <c r="B170" s="88">
        <f t="shared" si="7"/>
        <v>6.6133420000000003</v>
      </c>
      <c r="C170" s="39">
        <v>298379912</v>
      </c>
      <c r="D170" s="81">
        <f t="shared" si="8"/>
        <v>2.2164166333020437E-2</v>
      </c>
    </row>
    <row r="171" spans="1:4" x14ac:dyDescent="0.25">
      <c r="A171" s="38">
        <v>2006</v>
      </c>
      <c r="B171" s="88">
        <f t="shared" si="7"/>
        <v>5.4819040000000001</v>
      </c>
      <c r="C171" s="40">
        <v>301231207</v>
      </c>
      <c r="D171" s="81">
        <f t="shared" si="8"/>
        <v>1.8198326974801119E-2</v>
      </c>
    </row>
    <row r="172" spans="1:4" x14ac:dyDescent="0.25">
      <c r="A172" s="37">
        <v>2007</v>
      </c>
      <c r="B172" s="88">
        <f t="shared" si="7"/>
        <v>6.3556789999999994</v>
      </c>
      <c r="C172" s="39">
        <v>304093966</v>
      </c>
      <c r="D172" s="81">
        <f t="shared" si="8"/>
        <v>2.0900378536284406E-2</v>
      </c>
    </row>
    <row r="173" spans="1:4" x14ac:dyDescent="0.25">
      <c r="A173" s="38">
        <v>2008</v>
      </c>
      <c r="B173" s="88">
        <f t="shared" si="7"/>
        <v>10.866685</v>
      </c>
      <c r="C173" s="40">
        <v>306771529</v>
      </c>
      <c r="D173" s="81">
        <f t="shared" si="8"/>
        <v>3.5422729858350058E-2</v>
      </c>
    </row>
    <row r="174" spans="1:4" x14ac:dyDescent="0.25">
      <c r="A174" s="37">
        <v>2009</v>
      </c>
      <c r="B174" s="88">
        <f t="shared" si="7"/>
        <v>4.6914490000000004</v>
      </c>
      <c r="C174" s="39">
        <v>308745538</v>
      </c>
      <c r="D174" s="81">
        <f t="shared" si="8"/>
        <v>1.5195196116486063E-2</v>
      </c>
    </row>
    <row r="175" spans="1:4" x14ac:dyDescent="0.25">
      <c r="A175" s="38">
        <v>2010</v>
      </c>
      <c r="B175" s="88">
        <f t="shared" si="7"/>
        <v>3.2487789999999999</v>
      </c>
      <c r="C175" s="40">
        <v>309347057</v>
      </c>
      <c r="D175" s="81">
        <f t="shared" si="8"/>
        <v>1.0502052392242413E-2</v>
      </c>
    </row>
    <row r="176" spans="1:4" x14ac:dyDescent="0.25">
      <c r="A176" s="37">
        <v>2011</v>
      </c>
      <c r="B176" s="88">
        <f t="shared" si="7"/>
        <v>5.0218429999999996</v>
      </c>
      <c r="C176" s="39">
        <v>311721632</v>
      </c>
      <c r="D176" s="81">
        <f t="shared" si="8"/>
        <v>1.6110024087131688E-2</v>
      </c>
    </row>
    <row r="177" spans="1:4" x14ac:dyDescent="0.25">
      <c r="A177" s="38">
        <v>2012</v>
      </c>
      <c r="B177" s="88">
        <f t="shared" si="7"/>
        <v>18.737859999999998</v>
      </c>
      <c r="C177" s="40">
        <v>314112078</v>
      </c>
      <c r="D177" s="81">
        <f t="shared" si="8"/>
        <v>5.9653420904114351E-2</v>
      </c>
    </row>
    <row r="178" spans="1:4" x14ac:dyDescent="0.25">
      <c r="A178" s="37">
        <v>2013</v>
      </c>
      <c r="B178" s="88">
        <f t="shared" si="7"/>
        <v>32.098714000000001</v>
      </c>
      <c r="C178" s="39">
        <v>316497531</v>
      </c>
      <c r="D178" s="81">
        <f t="shared" si="8"/>
        <v>0.10141852891737094</v>
      </c>
    </row>
    <row r="179" spans="1:4" x14ac:dyDescent="0.25">
      <c r="A179" s="38">
        <v>2014</v>
      </c>
      <c r="B179" s="88">
        <f t="shared" si="7"/>
        <v>53.679803999999997</v>
      </c>
      <c r="C179" s="40">
        <v>318857056</v>
      </c>
      <c r="D179" s="81">
        <f t="shared" si="8"/>
        <v>0.16835068564391437</v>
      </c>
    </row>
    <row r="180" spans="1:4" x14ac:dyDescent="0.25">
      <c r="A180" s="37">
        <v>2015</v>
      </c>
      <c r="B180" s="88">
        <f t="shared" si="7"/>
        <v>48.262848999999996</v>
      </c>
      <c r="C180" s="39">
        <v>321418820</v>
      </c>
      <c r="D180" s="81">
        <f t="shared" si="8"/>
        <v>0.15015564116625155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zoomScale="110" zoomScaleNormal="110" workbookViewId="0">
      <selection activeCell="G90" sqref="G90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  <col min="12" max="12" width="12.28515625" bestFit="1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121</v>
      </c>
      <c r="D5" s="13" t="s">
        <v>14</v>
      </c>
      <c r="E5" s="14" t="s">
        <v>4</v>
      </c>
    </row>
    <row r="6" spans="2:12" x14ac:dyDescent="0.25">
      <c r="B6" s="10">
        <v>1991</v>
      </c>
      <c r="C6" s="87">
        <f>'[2]Export 02'!B2</f>
        <v>193.2</v>
      </c>
      <c r="D6" s="2">
        <v>30.88664</v>
      </c>
      <c r="E6" s="64">
        <f t="shared" ref="E6:E30" si="0">(C6/D6)/100000000000</f>
        <v>6.2551316685790362E-11</v>
      </c>
    </row>
    <row r="7" spans="2:12" x14ac:dyDescent="0.25">
      <c r="B7" s="10">
        <v>1992</v>
      </c>
      <c r="C7" s="87">
        <f>'[2]Export 02'!B3</f>
        <v>98.457999999999998</v>
      </c>
      <c r="D7" s="2">
        <v>36.748779999999996</v>
      </c>
      <c r="E7" s="64">
        <f t="shared" si="0"/>
        <v>2.6792181944543471E-11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87">
        <f>'[2]Export 02'!B4</f>
        <v>189.28800000000001</v>
      </c>
      <c r="D8" s="2">
        <v>54.163779999999996</v>
      </c>
      <c r="E8" s="64">
        <f t="shared" si="0"/>
        <v>3.4947339347438458E-11</v>
      </c>
    </row>
    <row r="9" spans="2:12" x14ac:dyDescent="0.25">
      <c r="B9" s="10">
        <v>1994</v>
      </c>
      <c r="C9" s="87">
        <f>'[2]Export 02'!B5</f>
        <v>181.245</v>
      </c>
      <c r="D9" s="2">
        <v>82.613830000000007</v>
      </c>
      <c r="E9" s="64">
        <f t="shared" si="0"/>
        <v>2.1938820655088864E-11</v>
      </c>
    </row>
    <row r="10" spans="2:12" x14ac:dyDescent="0.25">
      <c r="B10" s="10">
        <v>1995</v>
      </c>
      <c r="C10" s="87">
        <f>'[2]Export 02'!B6</f>
        <v>318.63600000000002</v>
      </c>
      <c r="D10" s="2">
        <v>97.478279999999998</v>
      </c>
      <c r="E10" s="64">
        <f t="shared" si="0"/>
        <v>3.2687897242339531E-11</v>
      </c>
    </row>
    <row r="11" spans="2:12" x14ac:dyDescent="0.25">
      <c r="B11" s="10">
        <v>1996</v>
      </c>
      <c r="C11" s="87">
        <f>'[2]Export 02'!B7</f>
        <v>186.023</v>
      </c>
      <c r="D11" s="2">
        <v>137.40472</v>
      </c>
      <c r="E11" s="64">
        <f t="shared" si="0"/>
        <v>1.3538326776547413E-11</v>
      </c>
    </row>
    <row r="12" spans="2:12" x14ac:dyDescent="0.25">
      <c r="B12" s="10">
        <v>1997</v>
      </c>
      <c r="C12" s="87">
        <f>'[2]Export 02'!B8</f>
        <v>299.63900000000001</v>
      </c>
      <c r="D12" s="2">
        <v>168.40043</v>
      </c>
      <c r="E12" s="64">
        <f t="shared" si="0"/>
        <v>1.7793244352167033E-11</v>
      </c>
    </row>
    <row r="13" spans="2:12" x14ac:dyDescent="0.25">
      <c r="B13" s="10">
        <v>1998</v>
      </c>
      <c r="C13" s="87">
        <f>'[2]Export 02'!B9</f>
        <v>229.15799999999999</v>
      </c>
      <c r="D13" s="2">
        <v>184.64424</v>
      </c>
      <c r="E13" s="64">
        <f t="shared" si="0"/>
        <v>1.2410785194274135E-11</v>
      </c>
    </row>
    <row r="14" spans="2:12" x14ac:dyDescent="0.25">
      <c r="B14" s="10">
        <v>1999</v>
      </c>
      <c r="C14" s="87">
        <f>'[2]Export 02'!B10</f>
        <v>48.418999999999997</v>
      </c>
      <c r="D14" s="2">
        <v>182.49723999999998</v>
      </c>
      <c r="E14" s="64">
        <f t="shared" si="0"/>
        <v>2.6531360145501383E-12</v>
      </c>
    </row>
    <row r="15" spans="2:12" x14ac:dyDescent="0.25">
      <c r="B15" s="10">
        <v>2000</v>
      </c>
      <c r="C15" s="87">
        <f>'[2]Export 02'!B11</f>
        <v>130.333</v>
      </c>
      <c r="D15" s="2">
        <v>173.83799999999999</v>
      </c>
      <c r="E15" s="64">
        <f t="shared" si="0"/>
        <v>7.4973826206007906E-12</v>
      </c>
    </row>
    <row r="16" spans="2:12" x14ac:dyDescent="0.25">
      <c r="B16" s="10">
        <v>2001</v>
      </c>
      <c r="C16" s="87">
        <f>'[2]Export 02'!B12</f>
        <v>44.466000000000001</v>
      </c>
      <c r="D16" s="2">
        <v>169.57254999999998</v>
      </c>
      <c r="E16" s="64">
        <f t="shared" si="0"/>
        <v>2.6222404510635715E-12</v>
      </c>
    </row>
    <row r="17" spans="2:5" x14ac:dyDescent="0.25">
      <c r="B17" s="10">
        <v>2002</v>
      </c>
      <c r="C17" s="87">
        <f>'[2]Export 02'!B13</f>
        <v>1143.337</v>
      </c>
      <c r="D17" s="2">
        <v>193.08387999999999</v>
      </c>
      <c r="E17" s="64">
        <f t="shared" si="0"/>
        <v>5.9214523760347057E-11</v>
      </c>
    </row>
    <row r="18" spans="2:5" x14ac:dyDescent="0.25">
      <c r="B18" s="10">
        <v>2003</v>
      </c>
      <c r="C18" s="87">
        <f>'[2]Export 02'!B14</f>
        <v>1736.789</v>
      </c>
      <c r="D18" s="2">
        <v>203.78914</v>
      </c>
      <c r="E18" s="64">
        <f t="shared" si="0"/>
        <v>8.5224806385659221E-11</v>
      </c>
    </row>
    <row r="19" spans="2:5" x14ac:dyDescent="0.25">
      <c r="B19" s="10">
        <v>2004</v>
      </c>
      <c r="C19" s="87">
        <f>'[2]Export 02'!B15</f>
        <v>3722.8020000000001</v>
      </c>
      <c r="D19" s="2">
        <v>220.41551999999999</v>
      </c>
      <c r="E19" s="64">
        <f t="shared" si="0"/>
        <v>1.6889926807331901E-10</v>
      </c>
    </row>
    <row r="20" spans="2:5" x14ac:dyDescent="0.25">
      <c r="B20" s="10">
        <v>2005</v>
      </c>
      <c r="C20" s="87">
        <f>'[2]Export 02'!B16</f>
        <v>2617.0740000000001</v>
      </c>
      <c r="D20" s="2">
        <v>255.02369000000002</v>
      </c>
      <c r="E20" s="64">
        <f t="shared" si="0"/>
        <v>1.0262081926584937E-10</v>
      </c>
    </row>
    <row r="21" spans="2:5" x14ac:dyDescent="0.25">
      <c r="B21" s="10">
        <v>2006</v>
      </c>
      <c r="C21" s="87">
        <f>'[2]Export 02'!B17</f>
        <v>2260.576</v>
      </c>
      <c r="D21" s="2">
        <v>289.62955999999997</v>
      </c>
      <c r="E21" s="64">
        <f t="shared" si="0"/>
        <v>7.805059676919719E-11</v>
      </c>
    </row>
    <row r="22" spans="2:5" x14ac:dyDescent="0.25">
      <c r="B22" s="10">
        <v>2007</v>
      </c>
      <c r="C22" s="87">
        <f>'[2]Export 02'!B18</f>
        <v>1929.002</v>
      </c>
      <c r="D22" s="2">
        <v>315.86653999999999</v>
      </c>
      <c r="E22" s="64">
        <f t="shared" si="0"/>
        <v>6.1070159568025156E-11</v>
      </c>
    </row>
    <row r="23" spans="2:5" x14ac:dyDescent="0.25">
      <c r="B23" s="10">
        <v>2008</v>
      </c>
      <c r="C23" s="87">
        <f>'[2]Export 02'!B19</f>
        <v>2543.1509999999998</v>
      </c>
      <c r="D23" s="2">
        <v>356.99453000000005</v>
      </c>
      <c r="E23" s="64">
        <f t="shared" si="0"/>
        <v>7.1237814204043946E-11</v>
      </c>
    </row>
    <row r="24" spans="2:5" x14ac:dyDescent="0.25">
      <c r="B24" s="10">
        <v>2009</v>
      </c>
      <c r="C24" s="87">
        <f>'[2]Export 02'!B20</f>
        <v>1629.9090000000001</v>
      </c>
      <c r="D24" s="2">
        <v>413.96373999999997</v>
      </c>
      <c r="E24" s="64">
        <f t="shared" si="0"/>
        <v>3.937323109507128E-11</v>
      </c>
    </row>
    <row r="25" spans="2:5" x14ac:dyDescent="0.25">
      <c r="B25" s="10">
        <v>2010</v>
      </c>
      <c r="C25" s="87">
        <f>'[2]Export 02'!B21</f>
        <v>1239.7750000000001</v>
      </c>
      <c r="D25" s="2">
        <v>476.72912000000002</v>
      </c>
      <c r="E25" s="64">
        <f t="shared" si="0"/>
        <v>2.6005858421235102E-11</v>
      </c>
    </row>
    <row r="26" spans="2:5" x14ac:dyDescent="0.25">
      <c r="B26" s="10">
        <v>2011</v>
      </c>
      <c r="C26" s="87">
        <f>'[2]Export 02'!B22</f>
        <v>1556.4110000000001</v>
      </c>
      <c r="D26" s="2">
        <v>449.90528999999998</v>
      </c>
      <c r="E26" s="64">
        <f t="shared" si="0"/>
        <v>3.4594192035394829E-11</v>
      </c>
    </row>
    <row r="27" spans="2:5" x14ac:dyDescent="0.25">
      <c r="B27" s="10">
        <v>2012</v>
      </c>
      <c r="C27" s="87">
        <f>'[2]Export 02'!B23</f>
        <v>1228.972</v>
      </c>
      <c r="D27" s="2">
        <v>494.70812999999998</v>
      </c>
      <c r="E27" s="64">
        <f t="shared" si="0"/>
        <v>2.484236513355865E-11</v>
      </c>
    </row>
    <row r="28" spans="2:5" x14ac:dyDescent="0.25">
      <c r="B28" s="10">
        <v>2013</v>
      </c>
      <c r="C28" s="87">
        <f>'[2]Export 02'!B24</f>
        <v>1314.857</v>
      </c>
      <c r="D28" s="2">
        <v>585.44633999999996</v>
      </c>
      <c r="E28" s="64">
        <f t="shared" si="0"/>
        <v>2.2459052353115747E-11</v>
      </c>
    </row>
    <row r="29" spans="2:5" x14ac:dyDescent="0.25">
      <c r="B29" s="10">
        <v>2014</v>
      </c>
      <c r="C29" s="87">
        <f>'[2]Export 02'!B25</f>
        <v>2674.6019999999999</v>
      </c>
      <c r="D29" s="2">
        <v>607.30944999999997</v>
      </c>
      <c r="E29" s="64">
        <f t="shared" si="0"/>
        <v>4.4040184126889513E-11</v>
      </c>
    </row>
    <row r="30" spans="2:5" x14ac:dyDescent="0.25">
      <c r="B30" s="11">
        <v>2015</v>
      </c>
      <c r="C30" s="87">
        <f>'[2]Export 02'!B26</f>
        <v>3160.4050000000002</v>
      </c>
      <c r="D30" s="2">
        <v>645.33130000000006</v>
      </c>
      <c r="E30" s="64">
        <f t="shared" si="0"/>
        <v>4.8973372281803156E-11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</row>
    <row r="36" spans="2:12" ht="60" x14ac:dyDescent="0.25">
      <c r="B36" s="12" t="s">
        <v>3</v>
      </c>
      <c r="C36" s="13" t="s">
        <v>16</v>
      </c>
      <c r="D36" s="13" t="s">
        <v>14</v>
      </c>
      <c r="E36" s="14" t="s">
        <v>81</v>
      </c>
    </row>
    <row r="37" spans="2:12" x14ac:dyDescent="0.25">
      <c r="B37" s="10">
        <v>1991</v>
      </c>
      <c r="C37" s="88">
        <f>'[2] Per Cápita 02'!B36</f>
        <v>1.488518</v>
      </c>
      <c r="D37" s="2">
        <v>30.88664</v>
      </c>
      <c r="E37" s="79">
        <f t="shared" ref="E37:E61" si="1">(C37/D37)/10000000</f>
        <v>4.8192940378105228E-9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88">
        <f>'[2] Per Cápita 02'!B37</f>
        <v>6.3081459999999998</v>
      </c>
      <c r="D38" s="2">
        <v>36.748779999999996</v>
      </c>
      <c r="E38" s="79">
        <f t="shared" si="1"/>
        <v>1.7165592980229549E-8</v>
      </c>
    </row>
    <row r="39" spans="2:12" x14ac:dyDescent="0.25">
      <c r="B39" s="10">
        <v>1993</v>
      </c>
      <c r="C39" s="88">
        <f>'[2] Per Cápita 02'!B38</f>
        <v>9.1881140000000006</v>
      </c>
      <c r="D39" s="2">
        <v>54.163779999999996</v>
      </c>
      <c r="E39" s="79">
        <f t="shared" si="1"/>
        <v>1.6963576028113255E-8</v>
      </c>
    </row>
    <row r="40" spans="2:12" x14ac:dyDescent="0.25">
      <c r="B40" s="10">
        <v>1994</v>
      </c>
      <c r="C40" s="88">
        <f>'[2] Per Cápita 02'!B39</f>
        <v>5.7732659999999996</v>
      </c>
      <c r="D40" s="2">
        <v>82.613830000000007</v>
      </c>
      <c r="E40" s="79">
        <f t="shared" si="1"/>
        <v>6.9882560825469523E-9</v>
      </c>
    </row>
    <row r="41" spans="2:12" x14ac:dyDescent="0.25">
      <c r="B41" s="10">
        <v>1995</v>
      </c>
      <c r="C41" s="88">
        <f>'[2] Per Cápita 02'!B40</f>
        <v>14.381983999999999</v>
      </c>
      <c r="D41" s="2">
        <v>97.478279999999998</v>
      </c>
      <c r="E41" s="79">
        <f t="shared" si="1"/>
        <v>1.47540395665578E-8</v>
      </c>
    </row>
    <row r="42" spans="2:12" x14ac:dyDescent="0.25">
      <c r="B42" s="10">
        <v>1996</v>
      </c>
      <c r="C42" s="88">
        <f>'[2] Per Cápita 02'!B41</f>
        <v>9.2738960000000006</v>
      </c>
      <c r="D42" s="2">
        <v>137.40472</v>
      </c>
      <c r="E42" s="79">
        <f t="shared" si="1"/>
        <v>6.7493285529056062E-9</v>
      </c>
    </row>
    <row r="43" spans="2:12" x14ac:dyDescent="0.25">
      <c r="B43" s="10">
        <v>1997</v>
      </c>
      <c r="C43" s="88">
        <f>'[2] Per Cápita 02'!B42</f>
        <v>13.991676999999999</v>
      </c>
      <c r="D43" s="2">
        <v>168.40043</v>
      </c>
      <c r="E43" s="79">
        <f t="shared" si="1"/>
        <v>8.3085755778652098E-9</v>
      </c>
    </row>
    <row r="44" spans="2:12" x14ac:dyDescent="0.25">
      <c r="B44" s="10">
        <v>1998</v>
      </c>
      <c r="C44" s="88">
        <f>'[2] Per Cápita 02'!B43</f>
        <v>8.2078140000000008</v>
      </c>
      <c r="D44" s="2">
        <v>184.64424</v>
      </c>
      <c r="E44" s="79">
        <f t="shared" si="1"/>
        <v>4.4452044645421926E-9</v>
      </c>
    </row>
    <row r="45" spans="2:12" x14ac:dyDescent="0.25">
      <c r="B45" s="10">
        <v>1999</v>
      </c>
      <c r="C45" s="88">
        <f>'[2] Per Cápita 02'!B44</f>
        <v>3.582703</v>
      </c>
      <c r="D45" s="2">
        <v>182.49723999999998</v>
      </c>
      <c r="E45" s="79">
        <f t="shared" si="1"/>
        <v>1.9631546208589238E-9</v>
      </c>
    </row>
    <row r="46" spans="2:12" x14ac:dyDescent="0.25">
      <c r="B46" s="10">
        <v>2000</v>
      </c>
      <c r="C46" s="88">
        <f>'[2] Per Cápita 02'!B45</f>
        <v>4.2160919999999997</v>
      </c>
      <c r="D46" s="2">
        <v>173.83799999999999</v>
      </c>
      <c r="E46" s="79">
        <f t="shared" si="1"/>
        <v>2.4252994166983051E-9</v>
      </c>
    </row>
    <row r="47" spans="2:12" x14ac:dyDescent="0.25">
      <c r="B47" s="10">
        <v>2001</v>
      </c>
      <c r="C47" s="88">
        <f>'[2] Per Cápita 02'!B46</f>
        <v>3.6428370000000001</v>
      </c>
      <c r="D47" s="2">
        <v>169.57254999999998</v>
      </c>
      <c r="E47" s="79">
        <f t="shared" si="1"/>
        <v>2.1482468713243983E-9</v>
      </c>
    </row>
    <row r="48" spans="2:12" x14ac:dyDescent="0.25">
      <c r="B48" s="10">
        <v>2002</v>
      </c>
      <c r="C48" s="88">
        <f>'[2] Per Cápita 02'!B47</f>
        <v>0.99275800000000003</v>
      </c>
      <c r="D48" s="2">
        <v>193.08387999999999</v>
      </c>
      <c r="E48" s="79">
        <f t="shared" si="1"/>
        <v>5.1415892409040054E-10</v>
      </c>
    </row>
    <row r="49" spans="2:6" x14ac:dyDescent="0.25">
      <c r="B49" s="10">
        <v>2003</v>
      </c>
      <c r="C49" s="88">
        <f>'[2] Per Cápita 02'!B48</f>
        <v>1.186763</v>
      </c>
      <c r="D49" s="2">
        <v>203.78914</v>
      </c>
      <c r="E49" s="79">
        <f t="shared" si="1"/>
        <v>5.8234850002311215E-10</v>
      </c>
    </row>
    <row r="50" spans="2:6" x14ac:dyDescent="0.25">
      <c r="B50" s="10">
        <v>2004</v>
      </c>
      <c r="C50" s="88">
        <f>'[2] Per Cápita 02'!B49</f>
        <v>2.2491099999999999</v>
      </c>
      <c r="D50" s="2">
        <v>220.41551999999999</v>
      </c>
      <c r="E50" s="79">
        <f t="shared" si="1"/>
        <v>1.0203954785035102E-9</v>
      </c>
    </row>
    <row r="51" spans="2:6" x14ac:dyDescent="0.25">
      <c r="B51" s="10">
        <v>2005</v>
      </c>
      <c r="C51" s="88">
        <f>'[2] Per Cápita 02'!B50</f>
        <v>3.9962680000000002</v>
      </c>
      <c r="D51" s="2">
        <v>255.02369000000002</v>
      </c>
      <c r="E51" s="79">
        <f t="shared" si="1"/>
        <v>1.567018342492025E-9</v>
      </c>
    </row>
    <row r="52" spans="2:6" x14ac:dyDescent="0.25">
      <c r="B52" s="10">
        <v>2006</v>
      </c>
      <c r="C52" s="88">
        <f>'[2] Per Cápita 02'!B51</f>
        <v>3.2213280000000002</v>
      </c>
      <c r="D52" s="2">
        <v>289.62955999999997</v>
      </c>
      <c r="E52" s="79">
        <f t="shared" si="1"/>
        <v>1.1122234898951614E-9</v>
      </c>
    </row>
    <row r="53" spans="2:6" x14ac:dyDescent="0.25">
      <c r="B53" s="10">
        <v>2007</v>
      </c>
      <c r="C53" s="88">
        <f>'[2] Per Cápita 02'!B52</f>
        <v>4.4266769999999998</v>
      </c>
      <c r="D53" s="2">
        <v>315.86653999999999</v>
      </c>
      <c r="E53" s="79">
        <f t="shared" si="1"/>
        <v>1.4014390381456676E-9</v>
      </c>
    </row>
    <row r="54" spans="2:6" x14ac:dyDescent="0.25">
      <c r="B54" s="10">
        <v>2008</v>
      </c>
      <c r="C54" s="88">
        <f>'[2] Per Cápita 02'!B53</f>
        <v>8.3235340000000004</v>
      </c>
      <c r="D54" s="2">
        <v>356.99453000000005</v>
      </c>
      <c r="E54" s="79">
        <f t="shared" si="1"/>
        <v>2.3315578532813931E-9</v>
      </c>
    </row>
    <row r="55" spans="2:6" x14ac:dyDescent="0.25">
      <c r="B55" s="10">
        <v>2009</v>
      </c>
      <c r="C55" s="88">
        <f>'[2] Per Cápita 02'!B54</f>
        <v>3.0615399999999999</v>
      </c>
      <c r="D55" s="2">
        <v>413.96373999999997</v>
      </c>
      <c r="E55" s="79">
        <f t="shared" si="1"/>
        <v>7.3956719011186827E-10</v>
      </c>
    </row>
    <row r="56" spans="2:6" x14ac:dyDescent="0.25">
      <c r="B56" s="10">
        <v>2010</v>
      </c>
      <c r="C56" s="88">
        <f>'[2] Per Cápita 02'!B55</f>
        <v>2.009004</v>
      </c>
      <c r="D56" s="2">
        <v>476.72912000000002</v>
      </c>
      <c r="E56" s="79">
        <f t="shared" si="1"/>
        <v>4.2141415653400825E-10</v>
      </c>
    </row>
    <row r="57" spans="2:6" x14ac:dyDescent="0.25">
      <c r="B57" s="10">
        <v>2011</v>
      </c>
      <c r="C57" s="88">
        <f>'[2] Per Cápita 02'!B56</f>
        <v>3.4654319999999998</v>
      </c>
      <c r="D57" s="2">
        <v>449.90528999999998</v>
      </c>
      <c r="E57" s="79">
        <f t="shared" si="1"/>
        <v>7.7025811365765457E-10</v>
      </c>
    </row>
    <row r="58" spans="2:6" x14ac:dyDescent="0.25">
      <c r="B58" s="10">
        <v>2012</v>
      </c>
      <c r="C58" s="88">
        <f>'[2] Per Cápita 02'!B57</f>
        <v>17.508887999999999</v>
      </c>
      <c r="D58" s="2">
        <v>494.70812999999998</v>
      </c>
      <c r="E58" s="79">
        <f t="shared" si="1"/>
        <v>3.5392359531265432E-9</v>
      </c>
    </row>
    <row r="59" spans="2:6" x14ac:dyDescent="0.25">
      <c r="B59" s="10">
        <v>2013</v>
      </c>
      <c r="C59" s="88">
        <f>'[2] Per Cápita 02'!B58</f>
        <v>30.783857000000001</v>
      </c>
      <c r="D59" s="2">
        <v>585.44633999999996</v>
      </c>
      <c r="E59" s="79">
        <f t="shared" si="1"/>
        <v>5.2581859167485789E-9</v>
      </c>
    </row>
    <row r="60" spans="2:6" x14ac:dyDescent="0.25">
      <c r="B60" s="10">
        <v>2014</v>
      </c>
      <c r="C60" s="88">
        <f>'[2] Per Cápita 02'!B59</f>
        <v>51.005201999999997</v>
      </c>
      <c r="D60" s="2">
        <v>607.30944999999997</v>
      </c>
      <c r="E60" s="79">
        <f t="shared" si="1"/>
        <v>8.3985523360454863E-9</v>
      </c>
    </row>
    <row r="61" spans="2:6" x14ac:dyDescent="0.25">
      <c r="B61" s="11">
        <v>2015</v>
      </c>
      <c r="C61" s="88">
        <f>'[2] Per Cápita 02'!B60</f>
        <v>45.102443999999998</v>
      </c>
      <c r="D61" s="2">
        <v>645.33130000000006</v>
      </c>
      <c r="E61" s="79">
        <f t="shared" si="1"/>
        <v>6.9890371038875685E-9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90" x14ac:dyDescent="0.25">
      <c r="B67" s="12" t="s">
        <v>3</v>
      </c>
      <c r="C67" s="13" t="s">
        <v>83</v>
      </c>
      <c r="D67" s="13" t="s">
        <v>87</v>
      </c>
      <c r="E67" s="14" t="s">
        <v>82</v>
      </c>
    </row>
    <row r="68" spans="2:12" x14ac:dyDescent="0.25">
      <c r="B68" s="10">
        <v>1991</v>
      </c>
      <c r="C68" s="80">
        <f>'[2] Per Cápita 02'!B65</f>
        <v>1.681718</v>
      </c>
      <c r="D68" s="2">
        <f>D37*2</f>
        <v>61.77328</v>
      </c>
      <c r="E68" s="79">
        <f t="shared" ref="E68:E92" si="2">(C68/D68)/10000000</f>
        <v>2.722403602334213E-9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80">
        <f>'[2] Per Cápita 02'!B66</f>
        <v>6.4066039999999997</v>
      </c>
      <c r="D69" s="2">
        <f t="shared" ref="D69:D92" si="3">D38*2</f>
        <v>73.497559999999993</v>
      </c>
      <c r="E69" s="79">
        <f t="shared" si="2"/>
        <v>8.7167573998374921E-9</v>
      </c>
    </row>
    <row r="70" spans="2:12" x14ac:dyDescent="0.25">
      <c r="B70" s="10">
        <v>1993</v>
      </c>
      <c r="C70" s="80">
        <f>'[2] Per Cápita 02'!B67</f>
        <v>9.377402</v>
      </c>
      <c r="D70" s="2">
        <f t="shared" si="3"/>
        <v>108.32755999999999</v>
      </c>
      <c r="E70" s="79">
        <f t="shared" si="2"/>
        <v>8.6565247107938187E-9</v>
      </c>
    </row>
    <row r="71" spans="2:12" x14ac:dyDescent="0.25">
      <c r="B71" s="10">
        <v>1994</v>
      </c>
      <c r="C71" s="80">
        <f>'[2] Per Cápita 02'!B68</f>
        <v>5.9545109999999992</v>
      </c>
      <c r="D71" s="2">
        <f t="shared" si="3"/>
        <v>165.22766000000001</v>
      </c>
      <c r="E71" s="79">
        <f t="shared" si="2"/>
        <v>3.6038221445489202E-9</v>
      </c>
    </row>
    <row r="72" spans="2:12" x14ac:dyDescent="0.25">
      <c r="B72" s="10">
        <v>1995</v>
      </c>
      <c r="C72" s="80">
        <f>'[2] Per Cápita 02'!B69</f>
        <v>14.700619999999999</v>
      </c>
      <c r="D72" s="2">
        <f t="shared" si="3"/>
        <v>194.95656</v>
      </c>
      <c r="E72" s="79">
        <f t="shared" si="2"/>
        <v>7.540459269490597E-9</v>
      </c>
    </row>
    <row r="73" spans="2:12" x14ac:dyDescent="0.25">
      <c r="B73" s="10">
        <v>1996</v>
      </c>
      <c r="C73" s="80">
        <f>'[2] Per Cápita 02'!B70</f>
        <v>9.4599190000000011</v>
      </c>
      <c r="D73" s="2">
        <f t="shared" si="3"/>
        <v>274.80944</v>
      </c>
      <c r="E73" s="79">
        <f t="shared" si="2"/>
        <v>3.4423559103355407E-9</v>
      </c>
    </row>
    <row r="74" spans="2:12" x14ac:dyDescent="0.25">
      <c r="B74" s="10">
        <v>1997</v>
      </c>
      <c r="C74" s="80">
        <f>'[2] Per Cápita 02'!B71</f>
        <v>14.291315999999998</v>
      </c>
      <c r="D74" s="2">
        <f t="shared" si="3"/>
        <v>336.80086</v>
      </c>
      <c r="E74" s="79">
        <f t="shared" si="2"/>
        <v>4.2432540106934405E-9</v>
      </c>
    </row>
    <row r="75" spans="2:12" x14ac:dyDescent="0.25">
      <c r="B75" s="10">
        <v>1998</v>
      </c>
      <c r="C75" s="80">
        <f>'[2] Per Cápita 02'!B72</f>
        <v>8.4369720000000008</v>
      </c>
      <c r="D75" s="2">
        <f t="shared" si="3"/>
        <v>369.28847999999999</v>
      </c>
      <c r="E75" s="79">
        <f t="shared" si="2"/>
        <v>2.2846561582424667E-9</v>
      </c>
    </row>
    <row r="76" spans="2:12" x14ac:dyDescent="0.25">
      <c r="B76" s="10">
        <v>1999</v>
      </c>
      <c r="C76" s="80">
        <f>'[2] Per Cápita 02'!B73</f>
        <v>3.631122</v>
      </c>
      <c r="D76" s="2">
        <f t="shared" si="3"/>
        <v>364.99447999999995</v>
      </c>
      <c r="E76" s="79">
        <f t="shared" si="2"/>
        <v>9.9484299050221271E-10</v>
      </c>
    </row>
    <row r="77" spans="2:12" x14ac:dyDescent="0.25">
      <c r="B77" s="10">
        <v>2000</v>
      </c>
      <c r="C77" s="80">
        <f>'[2] Per Cápita 02'!B74</f>
        <v>4.346425</v>
      </c>
      <c r="D77" s="2">
        <f t="shared" si="3"/>
        <v>347.67599999999999</v>
      </c>
      <c r="E77" s="79">
        <f t="shared" si="2"/>
        <v>1.2501366214521567E-9</v>
      </c>
    </row>
    <row r="78" spans="2:12" x14ac:dyDescent="0.25">
      <c r="B78" s="10">
        <v>2001</v>
      </c>
      <c r="C78" s="80">
        <f>'[2] Per Cápita 02'!B75</f>
        <v>3.687303</v>
      </c>
      <c r="D78" s="2">
        <f t="shared" si="3"/>
        <v>339.14509999999996</v>
      </c>
      <c r="E78" s="79">
        <f t="shared" si="2"/>
        <v>1.0872346379175169E-9</v>
      </c>
    </row>
    <row r="79" spans="2:12" x14ac:dyDescent="0.25">
      <c r="B79" s="10">
        <v>2002</v>
      </c>
      <c r="C79" s="80">
        <f>'[2] Per Cápita 02'!B76</f>
        <v>2.1360950000000001</v>
      </c>
      <c r="D79" s="2">
        <f t="shared" si="3"/>
        <v>386.16775999999999</v>
      </c>
      <c r="E79" s="79">
        <f t="shared" si="2"/>
        <v>5.531520808469355E-10</v>
      </c>
    </row>
    <row r="80" spans="2:12" x14ac:dyDescent="0.25">
      <c r="B80" s="10">
        <v>2003</v>
      </c>
      <c r="C80" s="80">
        <f>'[2] Per Cápita 02'!B77</f>
        <v>2.9235519999999999</v>
      </c>
      <c r="D80" s="2">
        <f t="shared" si="3"/>
        <v>407.57828000000001</v>
      </c>
      <c r="E80" s="79">
        <f t="shared" si="2"/>
        <v>7.1729828193985205E-10</v>
      </c>
    </row>
    <row r="81" spans="2:5" x14ac:dyDescent="0.25">
      <c r="B81" s="10">
        <v>2004</v>
      </c>
      <c r="C81" s="80">
        <f>'[2] Per Cápita 02'!B78</f>
        <v>5.9719119999999997</v>
      </c>
      <c r="D81" s="2">
        <f t="shared" si="3"/>
        <v>440.83103999999997</v>
      </c>
      <c r="E81" s="79">
        <f t="shared" si="2"/>
        <v>1.35469407961835E-9</v>
      </c>
    </row>
    <row r="82" spans="2:5" x14ac:dyDescent="0.25">
      <c r="B82" s="10">
        <v>2005</v>
      </c>
      <c r="C82" s="80">
        <f>'[2] Per Cápita 02'!B79</f>
        <v>6.6133420000000003</v>
      </c>
      <c r="D82" s="2">
        <f t="shared" si="3"/>
        <v>510.04738000000003</v>
      </c>
      <c r="E82" s="79">
        <f t="shared" si="2"/>
        <v>1.2966132675752592E-9</v>
      </c>
    </row>
    <row r="83" spans="2:5" x14ac:dyDescent="0.25">
      <c r="B83" s="10">
        <v>2006</v>
      </c>
      <c r="C83" s="80">
        <f>'[2] Per Cápita 02'!B80</f>
        <v>5.4819040000000001</v>
      </c>
      <c r="D83" s="2">
        <f t="shared" si="3"/>
        <v>579.25911999999994</v>
      </c>
      <c r="E83" s="79">
        <f t="shared" si="2"/>
        <v>9.463647287935668E-10</v>
      </c>
    </row>
    <row r="84" spans="2:5" x14ac:dyDescent="0.25">
      <c r="B84" s="10">
        <v>2007</v>
      </c>
      <c r="C84" s="80">
        <f>'[2] Per Cápita 02'!B81</f>
        <v>6.3556789999999994</v>
      </c>
      <c r="D84" s="2">
        <f t="shared" si="3"/>
        <v>631.73307999999997</v>
      </c>
      <c r="E84" s="79">
        <f t="shared" si="2"/>
        <v>1.0060703169129595E-9</v>
      </c>
    </row>
    <row r="85" spans="2:5" x14ac:dyDescent="0.25">
      <c r="B85" s="10">
        <v>2008</v>
      </c>
      <c r="C85" s="80">
        <f>'[2] Per Cápita 02'!B82</f>
        <v>10.866685</v>
      </c>
      <c r="D85" s="2">
        <f t="shared" si="3"/>
        <v>713.98906000000011</v>
      </c>
      <c r="E85" s="79">
        <f t="shared" si="2"/>
        <v>1.5219679976609163E-9</v>
      </c>
    </row>
    <row r="86" spans="2:5" x14ac:dyDescent="0.25">
      <c r="B86" s="10">
        <v>2009</v>
      </c>
      <c r="C86" s="80">
        <f>'[2] Per Cápita 02'!B83</f>
        <v>4.6914490000000004</v>
      </c>
      <c r="D86" s="2">
        <f t="shared" si="3"/>
        <v>827.92747999999995</v>
      </c>
      <c r="E86" s="79">
        <f t="shared" si="2"/>
        <v>5.6664975053129059E-10</v>
      </c>
    </row>
    <row r="87" spans="2:5" x14ac:dyDescent="0.25">
      <c r="B87" s="10">
        <v>2010</v>
      </c>
      <c r="C87" s="80">
        <f>'[2] Per Cápita 02'!B84</f>
        <v>3.2487789999999999</v>
      </c>
      <c r="D87" s="2">
        <f t="shared" si="3"/>
        <v>953.45824000000005</v>
      </c>
      <c r="E87" s="79">
        <f t="shared" si="2"/>
        <v>3.407363703731796E-10</v>
      </c>
    </row>
    <row r="88" spans="2:5" x14ac:dyDescent="0.25">
      <c r="B88" s="10">
        <v>2011</v>
      </c>
      <c r="C88" s="80">
        <f>'[2] Per Cápita 02'!B85</f>
        <v>5.0218429999999996</v>
      </c>
      <c r="D88" s="2">
        <f t="shared" si="3"/>
        <v>899.81057999999996</v>
      </c>
      <c r="E88" s="79">
        <f t="shared" si="2"/>
        <v>5.5810001700580135E-10</v>
      </c>
    </row>
    <row r="89" spans="2:5" x14ac:dyDescent="0.25">
      <c r="B89" s="10">
        <v>2012</v>
      </c>
      <c r="C89" s="80">
        <f>'[2] Per Cápita 02'!B86</f>
        <v>18.737859999999998</v>
      </c>
      <c r="D89" s="2">
        <f t="shared" si="3"/>
        <v>989.41625999999997</v>
      </c>
      <c r="E89" s="79">
        <f t="shared" si="2"/>
        <v>1.8938298022310647E-9</v>
      </c>
    </row>
    <row r="90" spans="2:5" x14ac:dyDescent="0.25">
      <c r="B90" s="10">
        <v>2013</v>
      </c>
      <c r="C90" s="80">
        <f>'[2] Per Cápita 02'!B87</f>
        <v>32.098714000000001</v>
      </c>
      <c r="D90" s="2">
        <f t="shared" si="3"/>
        <v>1170.8926799999999</v>
      </c>
      <c r="E90" s="79">
        <f t="shared" si="2"/>
        <v>2.7413882201398685E-9</v>
      </c>
    </row>
    <row r="91" spans="2:5" x14ac:dyDescent="0.25">
      <c r="B91" s="10">
        <v>2014</v>
      </c>
      <c r="C91" s="80">
        <f>'[2] Per Cápita 02'!B88</f>
        <v>53.679803999999997</v>
      </c>
      <c r="D91" s="2">
        <f t="shared" si="3"/>
        <v>1214.6188999999999</v>
      </c>
      <c r="E91" s="79">
        <f t="shared" si="2"/>
        <v>4.4194770886571912E-9</v>
      </c>
    </row>
    <row r="92" spans="2:5" x14ac:dyDescent="0.25">
      <c r="B92" s="11">
        <v>2015</v>
      </c>
      <c r="C92" s="80">
        <f>'[2] Per Cápita 02'!B89</f>
        <v>48.262848999999996</v>
      </c>
      <c r="D92" s="2">
        <f t="shared" si="3"/>
        <v>1290.6626000000001</v>
      </c>
      <c r="E92" s="79">
        <f t="shared" si="2"/>
        <v>3.7393854133527995E-9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A28" zoomScale="80" zoomScaleNormal="80" workbookViewId="0">
      <selection activeCell="L33" sqref="L33:R35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19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74">
        <f>'[2]Balanza c 02'!B2</f>
        <v>-1.295318</v>
      </c>
      <c r="C5" s="27">
        <v>881.41649700000005</v>
      </c>
      <c r="D5" s="2">
        <v>1806.394</v>
      </c>
      <c r="E5" s="5">
        <v>218.072048</v>
      </c>
      <c r="F5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-1.4692232422314163E-6</v>
      </c>
      <c r="G5" s="7" t="s">
        <v>96</v>
      </c>
      <c r="L5" s="49" t="s">
        <v>97</v>
      </c>
    </row>
    <row r="6" spans="1:17" x14ac:dyDescent="0.25">
      <c r="A6" s="10">
        <v>1992</v>
      </c>
      <c r="B6" s="74">
        <f>'[2]Balanza c 02'!B3</f>
        <v>-6.2096879999999999</v>
      </c>
      <c r="C6" s="27">
        <v>983.24995899999999</v>
      </c>
      <c r="D6" s="2">
        <v>3152.6379999999999</v>
      </c>
      <c r="E6" s="5">
        <v>433.62799100000001</v>
      </c>
      <c r="F6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-6.3126884316479038E-6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74">
        <f>'[2]Balanza c 02'!B4</f>
        <v>-8.9988260000000011</v>
      </c>
      <c r="C7" s="27">
        <v>959.41936999999996</v>
      </c>
      <c r="D7" s="2">
        <v>3215.2869999999998</v>
      </c>
      <c r="E7" s="5">
        <v>473.60294699999997</v>
      </c>
      <c r="F7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-9.3748222495810131E-6</v>
      </c>
      <c r="G7" s="1"/>
      <c r="M7" s="49"/>
      <c r="N7" s="49"/>
      <c r="O7" s="49"/>
    </row>
    <row r="8" spans="1:17" x14ac:dyDescent="0.25">
      <c r="A8" s="10">
        <v>1994</v>
      </c>
      <c r="B8" s="74">
        <f>'[2]Balanza c 02'!B5</f>
        <v>-5.5920209999999999</v>
      </c>
      <c r="C8" s="27">
        <v>1017.331577</v>
      </c>
      <c r="D8" s="2">
        <v>4474.9809999999998</v>
      </c>
      <c r="E8" s="5">
        <v>632.10264900000004</v>
      </c>
      <c r="F8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-5.4933403929776374E-6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74">
        <f>'[2]Balanza c 02'!B6</f>
        <v>-14.063348</v>
      </c>
      <c r="C9" s="27">
        <v>1038.4779860000001</v>
      </c>
      <c r="D9" s="2">
        <v>3992.277</v>
      </c>
      <c r="E9" s="5">
        <v>792.92823299999998</v>
      </c>
      <c r="F9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-1.3531936482970845E-5</v>
      </c>
      <c r="G9" s="1"/>
    </row>
    <row r="10" spans="1:17" x14ac:dyDescent="0.25">
      <c r="A10" s="10">
        <v>1996</v>
      </c>
      <c r="B10" s="74">
        <f>'[2]Balanza c 02'!B7</f>
        <v>-9.0878730000000001</v>
      </c>
      <c r="C10" s="27">
        <v>1068.2126330000001</v>
      </c>
      <c r="D10" s="2">
        <v>5379.8019999999997</v>
      </c>
      <c r="E10" s="5">
        <v>1032.147324</v>
      </c>
      <c r="F10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-8.4993381938663403E-6</v>
      </c>
      <c r="G10" s="1"/>
      <c r="H10" s="49"/>
    </row>
    <row r="11" spans="1:17" x14ac:dyDescent="0.25">
      <c r="A11" s="10">
        <v>1997</v>
      </c>
      <c r="B11" s="74">
        <f>'[2]Balanza c 02'!B8</f>
        <v>-13.692038</v>
      </c>
      <c r="C11" s="27">
        <v>1133.477727</v>
      </c>
      <c r="D11" s="2">
        <v>3821.105</v>
      </c>
      <c r="E11" s="5">
        <v>969.76201700000001</v>
      </c>
      <c r="F11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-1.2069344885997471E-5</v>
      </c>
      <c r="G11" s="1"/>
    </row>
    <row r="12" spans="1:17" x14ac:dyDescent="0.25">
      <c r="A12" s="10">
        <v>1998</v>
      </c>
      <c r="B12" s="74">
        <f>'[2]Balanza c 02'!B9</f>
        <v>-7.9786560000000009</v>
      </c>
      <c r="C12" s="27">
        <v>1185.2250309999999</v>
      </c>
      <c r="D12" s="2">
        <v>3538.69</v>
      </c>
      <c r="E12" s="5">
        <v>942.82702099999995</v>
      </c>
      <c r="F12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-6.7264139270402873E-6</v>
      </c>
      <c r="G12" s="1"/>
    </row>
    <row r="13" spans="1:17" x14ac:dyDescent="0.25">
      <c r="A13" s="10">
        <v>1999</v>
      </c>
      <c r="B13" s="74">
        <f>'[2]Balanza c 02'!B10</f>
        <v>-3.534284</v>
      </c>
      <c r="C13" s="27">
        <v>1221.7329010000001</v>
      </c>
      <c r="D13" s="2">
        <v>3328.6469999999999</v>
      </c>
      <c r="E13" s="5">
        <v>718.368246</v>
      </c>
      <c r="F13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-2.8911451023973521E-6</v>
      </c>
      <c r="G13" s="1"/>
    </row>
    <row r="14" spans="1:17" x14ac:dyDescent="0.25">
      <c r="A14" s="10">
        <v>2000</v>
      </c>
      <c r="B14" s="74">
        <f>'[2]Balanza c 02'!B11</f>
        <v>-4.0857589999999995</v>
      </c>
      <c r="C14" s="27">
        <v>1182.814787</v>
      </c>
      <c r="D14" s="2">
        <v>2423.2669999999998</v>
      </c>
      <c r="E14" s="5">
        <v>800.71074399999998</v>
      </c>
      <c r="F14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-3.4519309757159785E-6</v>
      </c>
      <c r="G14" s="1"/>
    </row>
    <row r="15" spans="1:17" x14ac:dyDescent="0.25">
      <c r="A15" s="10">
        <v>2001</v>
      </c>
      <c r="B15" s="74">
        <f>'[2]Balanza c 02'!B12</f>
        <v>-3.5983710000000002</v>
      </c>
      <c r="C15" s="27">
        <v>1144.9792580000001</v>
      </c>
      <c r="D15" s="2">
        <v>3458.69</v>
      </c>
      <c r="E15" s="5">
        <v>806.63776399999995</v>
      </c>
      <c r="F15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-3.1405265270791608E-6</v>
      </c>
      <c r="G15" s="1"/>
    </row>
    <row r="16" spans="1:17" x14ac:dyDescent="0.25">
      <c r="A16" s="10">
        <v>2002</v>
      </c>
      <c r="B16" s="74">
        <f>'[2]Balanza c 02'!B13</f>
        <v>0.15057900000000002</v>
      </c>
      <c r="C16" s="27">
        <v>1201.0997769999999</v>
      </c>
      <c r="D16" s="2">
        <v>3495.8850000000002</v>
      </c>
      <c r="E16" s="5">
        <v>914.29077400000006</v>
      </c>
      <c r="F16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1.252722443414128E-7</v>
      </c>
      <c r="G16" s="1"/>
    </row>
    <row r="17" spans="1:7" x14ac:dyDescent="0.25">
      <c r="A17" s="10">
        <v>2003</v>
      </c>
      <c r="B17" s="74">
        <f>'[2]Balanza c 02'!B14</f>
        <v>0.5500259999999999</v>
      </c>
      <c r="C17" s="27">
        <v>1198.522637</v>
      </c>
      <c r="D17" s="2">
        <v>4221.4390000000003</v>
      </c>
      <c r="E17" s="5">
        <v>964.07554868999978</v>
      </c>
      <c r="F17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4.5855114045514949E-7</v>
      </c>
      <c r="G17" s="1"/>
    </row>
    <row r="18" spans="1:7" x14ac:dyDescent="0.25">
      <c r="A18" s="10">
        <v>2004</v>
      </c>
      <c r="B18" s="74">
        <f>'[2]Balanza c 02'!B15</f>
        <v>1.4736920000000002</v>
      </c>
      <c r="C18" s="27">
        <v>1414.1092617499999</v>
      </c>
      <c r="D18" s="2">
        <v>2268.058</v>
      </c>
      <c r="E18" s="5">
        <v>1096.5766716700007</v>
      </c>
      <c r="F18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1.0413269645944635E-6</v>
      </c>
      <c r="G18" s="1"/>
    </row>
    <row r="19" spans="1:7" x14ac:dyDescent="0.25">
      <c r="A19" s="10">
        <v>2005</v>
      </c>
      <c r="B19" s="74">
        <f>'[2]Balanza c 02'!B16</f>
        <v>-1.379194</v>
      </c>
      <c r="C19" s="27">
        <v>1724.6291241099998</v>
      </c>
      <c r="D19" s="2">
        <v>3775.5949999999998</v>
      </c>
      <c r="E19" s="5">
        <v>1034.5303382900004</v>
      </c>
      <c r="F19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-7.9922526990981956E-7</v>
      </c>
      <c r="G19" s="1"/>
    </row>
    <row r="20" spans="1:7" x14ac:dyDescent="0.25">
      <c r="A20" s="10">
        <v>2006</v>
      </c>
      <c r="B20" s="74">
        <f>'[2]Balanza c 02'!B17</f>
        <v>-0.96075200000000027</v>
      </c>
      <c r="C20" s="27">
        <v>1872.3784980099981</v>
      </c>
      <c r="D20" s="2">
        <v>3769.5279999999998</v>
      </c>
      <c r="E20" s="5">
        <v>1257.3132665799999</v>
      </c>
      <c r="F20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-5.127741443762243E-7</v>
      </c>
      <c r="G20" s="1"/>
    </row>
    <row r="21" spans="1:7" x14ac:dyDescent="0.25">
      <c r="A21" s="10">
        <v>2007</v>
      </c>
      <c r="B21" s="74">
        <f>'[2]Balanza c 02'!B18</f>
        <v>-2.4976750000000001</v>
      </c>
      <c r="C21" s="26">
        <v>2122.5042788000019</v>
      </c>
      <c r="D21" s="2">
        <v>4219.6670000000004</v>
      </c>
      <c r="E21" s="5">
        <v>1695.4131790200004</v>
      </c>
      <c r="F21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-1.1758193024089125E-6</v>
      </c>
      <c r="G21" s="1"/>
    </row>
    <row r="22" spans="1:7" x14ac:dyDescent="0.25">
      <c r="A22" s="10">
        <v>2008</v>
      </c>
      <c r="B22" s="74">
        <f>'[2]Balanza c 02'!B19</f>
        <v>-5.7803830000000005</v>
      </c>
      <c r="C22" s="26">
        <v>2146.3400352200028</v>
      </c>
      <c r="D22" s="2">
        <v>4908.3850000000002</v>
      </c>
      <c r="E22" s="5">
        <v>2236.8973823599977</v>
      </c>
      <c r="F22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-2.6903309405815799E-6</v>
      </c>
      <c r="G22" s="1"/>
    </row>
    <row r="23" spans="1:7" x14ac:dyDescent="0.25">
      <c r="A23" s="10">
        <v>2009</v>
      </c>
      <c r="B23" s="74">
        <f>'[2]Balanza c 02'!B20</f>
        <v>-1.4316309999999999</v>
      </c>
      <c r="C23" s="26">
        <v>2095.9589286500013</v>
      </c>
      <c r="D23" s="2">
        <v>4795.9279999999999</v>
      </c>
      <c r="E23" s="5">
        <v>1750.4526144300014</v>
      </c>
      <c r="F23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-6.8247346976970618E-7</v>
      </c>
      <c r="G23" s="1"/>
    </row>
    <row r="24" spans="1:7" x14ac:dyDescent="0.25">
      <c r="A24" s="10">
        <v>2010</v>
      </c>
      <c r="B24" s="74">
        <f>'[2]Balanza c 02'!B21</f>
        <v>-0.76922899999999994</v>
      </c>
      <c r="C24" s="26">
        <v>2166.04730251</v>
      </c>
      <c r="D24" s="2">
        <v>912.50599999999997</v>
      </c>
      <c r="E24" s="5">
        <v>2018.9772672800029</v>
      </c>
      <c r="F24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-3.5479957747372041E-7</v>
      </c>
      <c r="G24" s="1"/>
    </row>
    <row r="25" spans="1:7" x14ac:dyDescent="0.25">
      <c r="A25" s="10">
        <v>2011</v>
      </c>
      <c r="B25" s="74">
        <f>'[2]Balanza c 02'!B22</f>
        <v>-1.9090209999999999</v>
      </c>
      <c r="C25" s="26">
        <v>2284.3647235700028</v>
      </c>
      <c r="D25" s="2">
        <v>1611.5440000000001</v>
      </c>
      <c r="E25" s="5">
        <v>2563.9037290099977</v>
      </c>
      <c r="F25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-8.3475320445599469E-7</v>
      </c>
      <c r="G25" s="1"/>
    </row>
    <row r="26" spans="1:7" x14ac:dyDescent="0.25">
      <c r="A26" s="10">
        <v>2012</v>
      </c>
      <c r="B26" s="74">
        <f>'[2]Balanza c 02'!B23</f>
        <v>-16.279916</v>
      </c>
      <c r="C26" s="26">
        <v>2636.1765412600002</v>
      </c>
      <c r="D26" s="2">
        <v>1734.827</v>
      </c>
      <c r="E26" s="5">
        <v>2705.0876101299973</v>
      </c>
      <c r="F26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-6.169248298935806E-6</v>
      </c>
      <c r="G26" s="1"/>
    </row>
    <row r="27" spans="1:7" x14ac:dyDescent="0.25">
      <c r="A27" s="10">
        <v>2013</v>
      </c>
      <c r="B27" s="74">
        <f>'[2]Balanza c 02'!B24</f>
        <v>-29.469000000000001</v>
      </c>
      <c r="C27" s="26">
        <v>2651.0931387399996</v>
      </c>
      <c r="D27" s="2">
        <v>1652.723</v>
      </c>
      <c r="E27" s="5">
        <v>2581.5323848800022</v>
      </c>
      <c r="F27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-1.1104978436376391E-5</v>
      </c>
      <c r="G27" s="1"/>
    </row>
    <row r="28" spans="1:7" x14ac:dyDescent="0.25">
      <c r="A28" s="10">
        <v>2014</v>
      </c>
      <c r="B28" s="74">
        <f>'[2]Balanza c 02'!B25</f>
        <v>-48.330599999999997</v>
      </c>
      <c r="C28" s="26">
        <v>2568.3085408999968</v>
      </c>
      <c r="D28" s="2">
        <v>1246.8779999999999</v>
      </c>
      <c r="E28" s="5">
        <v>2532.8550979199972</v>
      </c>
      <c r="F28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-1.8799526129942226E-5</v>
      </c>
      <c r="G28" s="1"/>
    </row>
    <row r="29" spans="1:7" x14ac:dyDescent="0.25">
      <c r="A29" s="11">
        <v>2015</v>
      </c>
      <c r="B29" s="74">
        <f>'[2]Balanza c 02'!B26</f>
        <v>-41.942039000000001</v>
      </c>
      <c r="C29" s="3">
        <v>2443.4283642899991</v>
      </c>
      <c r="D29" s="2">
        <v>520.46799999999996</v>
      </c>
      <c r="E29" s="5">
        <v>2376.0279714999997</v>
      </c>
      <c r="F29" s="96">
        <f>(Tabla19101113314559[[#This Row],[Total Balanza Comercial de Colombia (US$ millones)]]/1000)/(Tabla19101113314559[[#This Row],[Total exportaciones de Colombia hacia el mundo
  (US$ millones FOB)]]+Tabla19101113314559[[#This Row],[Total Importaciones Colombia (US$millones CIF)]]/1000)</f>
        <v>-1.7148566390960861E-5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135</v>
      </c>
      <c r="C33" s="29" t="s">
        <v>121</v>
      </c>
      <c r="D33" s="29" t="s">
        <v>159</v>
      </c>
      <c r="E33" s="29" t="s">
        <v>160</v>
      </c>
      <c r="F33" s="29" t="s">
        <v>23</v>
      </c>
      <c r="G33" s="28" t="s">
        <v>24</v>
      </c>
    </row>
    <row r="34" spans="1:17" x14ac:dyDescent="0.25">
      <c r="A34" s="31">
        <v>1991</v>
      </c>
      <c r="B34" s="73">
        <f>'[2]Participación Mundial 02'!C6</f>
        <v>193.2</v>
      </c>
      <c r="C34" s="26">
        <v>2823.8</v>
      </c>
      <c r="D34" s="27">
        <v>4.2265360000000003</v>
      </c>
      <c r="E34" s="125">
        <v>7.2686346239999997</v>
      </c>
      <c r="F34" s="127">
        <f>((Tabla1910111314324660[[#This Row],[Total exportaciones del grupo
 a USA (US$ miles)]])/(Tabla1910111314324660[[#This Row],[Total exportaciones
 a USA (US$ miles)]])/((D34/1000)/E34))</f>
        <v>117.66341642425357</v>
      </c>
      <c r="G34" s="98" t="str">
        <f>IF(Tabla1910111314324660[[#This Row],[Indice de Balassa]]&gt;0.33,"VENTAJA","NO VENTAJA")</f>
        <v>VENTAJA</v>
      </c>
    </row>
    <row r="35" spans="1:17" x14ac:dyDescent="0.25">
      <c r="A35" s="31">
        <v>1992</v>
      </c>
      <c r="B35" s="73">
        <f>'[2]Participación Mundial 02'!C7</f>
        <v>98.457999999999998</v>
      </c>
      <c r="C35" s="26">
        <v>2722.5</v>
      </c>
      <c r="D35" s="27">
        <v>3.286699</v>
      </c>
      <c r="E35" s="26">
        <v>6.9160427520000001</v>
      </c>
      <c r="F35" s="127">
        <f>((Tabla1910111314324660[[#This Row],[Total exportaciones del grupo
 a USA (US$ miles)]])/(Tabla1910111314324660[[#This Row],[Total exportaciones
 a USA (US$ miles)]])/((D35/1000)/E35))</f>
        <v>76.099334310346492</v>
      </c>
      <c r="G35" s="98" t="str">
        <f>IF(Tabla1910111314324660[[#This Row],[Indice de Balassa]]&gt;0.33,"VENTAJA","NO VENTAJA")</f>
        <v>VENTAJA</v>
      </c>
    </row>
    <row r="36" spans="1:17" x14ac:dyDescent="0.25">
      <c r="A36" s="31">
        <v>1993</v>
      </c>
      <c r="B36" s="73">
        <f>'[2]Participación Mundial 02'!C8</f>
        <v>189.28800000000001</v>
      </c>
      <c r="C36" s="26">
        <v>2850.21</v>
      </c>
      <c r="D36" s="27">
        <v>3.3039890000000001</v>
      </c>
      <c r="E36" s="26">
        <v>7.1234385920000003</v>
      </c>
      <c r="F36" s="127">
        <f>((Tabla1910111314324660[[#This Row],[Total exportaciones del grupo
 a USA (US$ miles)]])/(Tabla1910111314324660[[#This Row],[Total exportaciones
 a USA (US$ miles)]])/((D36/1000)/E36))</f>
        <v>143.18493117839054</v>
      </c>
      <c r="G36" s="98" t="str">
        <f>IF(Tabla1910111314324660[[#This Row],[Indice de Balassa]]&gt;0.33,"VENTAJA","NO VENTAJA")</f>
        <v>VENTAJA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f>'[2]Participación Mundial 02'!C9</f>
        <v>181.245</v>
      </c>
      <c r="C37" s="26">
        <v>3164.92</v>
      </c>
      <c r="D37" s="27">
        <v>4.8948859999999996</v>
      </c>
      <c r="E37" s="26">
        <v>8.5375165440000007</v>
      </c>
      <c r="F37" s="127">
        <f>((Tabla1910111314324660[[#This Row],[Total exportaciones del grupo
 a USA (US$ miles)]])/(Tabla1910111314324660[[#This Row],[Total exportaciones
 a USA (US$ miles)]])/((D37/1000)/E37))</f>
        <v>99.883160151160169</v>
      </c>
      <c r="G37" s="98" t="str">
        <f>IF(Tabla1910111314324660[[#This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>
        <f>'[2]Participación Mundial 02'!C10</f>
        <v>318.63600000000002</v>
      </c>
      <c r="C38" s="26">
        <v>3627.72</v>
      </c>
      <c r="D38" s="27">
        <v>13.677769</v>
      </c>
      <c r="E38" s="26">
        <v>10.201048064</v>
      </c>
      <c r="F38" s="127">
        <f>((Tabla1910111314324660[[#This Row],[Total exportaciones del grupo
 a USA (US$ miles)]])/(Tabla1910111314324660[[#This Row],[Total exportaciones
 a USA (US$ miles)]])/((D38/1000)/E38))</f>
        <v>65.50743750970895</v>
      </c>
      <c r="G38" s="98" t="str">
        <f>IF(Tabla1910111314324660[[#This Row],[Indice de Balassa]]&gt;0.33,"VENTAJA","NO VENTAJA")</f>
        <v>VENTAJA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f>'[2]Participación Mundial 02'!C11</f>
        <v>186.023</v>
      </c>
      <c r="C39" s="26">
        <v>4282.93</v>
      </c>
      <c r="D39" s="27">
        <v>4.560422</v>
      </c>
      <c r="E39" s="26">
        <v>10.647555071999999</v>
      </c>
      <c r="F39" s="127">
        <f>((Tabla1910111314324660[[#This Row],[Total exportaciones del grupo
 a USA (US$ miles)]])/(Tabla1910111314324660[[#This Row],[Total exportaciones
 a USA (US$ miles)]])/((D39/1000)/E39))</f>
        <v>101.40760609663693</v>
      </c>
      <c r="G39" s="98" t="str">
        <f>IF(Tabla1910111314324660[[#This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>
        <f>'[2]Participación Mundial 02'!C12</f>
        <v>299.63900000000001</v>
      </c>
      <c r="C40" s="26">
        <v>4379.28</v>
      </c>
      <c r="D40" s="27">
        <v>11.838301</v>
      </c>
      <c r="E40" s="26">
        <v>11.549019136</v>
      </c>
      <c r="F40" s="127">
        <f>((Tabla1910111314324660[[#This Row],[Total exportaciones del grupo
 a USA (US$ miles)]])/(Tabla1910111314324660[[#This Row],[Total exportaciones
 a USA (US$ miles)]])/((D40/1000)/E40))</f>
        <v>66.750011993328869</v>
      </c>
      <c r="G40" s="98" t="str">
        <f>IF(Tabla1910111314324660[[#This Row],[Indice de Balassa]]&gt;0.33,"VENTAJA","NO VENTAJA")</f>
        <v>VENTAJA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>
        <f>'[2]Participación Mundial 02'!C13</f>
        <v>229.15799999999999</v>
      </c>
      <c r="C41" s="26">
        <v>4139.68</v>
      </c>
      <c r="D41" s="27">
        <v>13.079058</v>
      </c>
      <c r="E41" s="26">
        <v>10.8212224</v>
      </c>
      <c r="F41" s="127">
        <f>((Tabla1910111314324660[[#This Row],[Total exportaciones del grupo
 a USA (US$ miles)]])/(Tabla1910111314324660[[#This Row],[Total exportaciones
 a USA (US$ miles)]])/((D41/1000)/E41))</f>
        <v>45.800277485277626</v>
      </c>
      <c r="G41" s="98" t="str">
        <f>IF(Tabla1910111314324660[[#This Row],[Indice de Balassa]]&gt;0.33,"VENTAJA","NO VENTAJA")</f>
        <v>VENTAJA</v>
      </c>
      <c r="M41" t="s">
        <v>101</v>
      </c>
    </row>
    <row r="42" spans="1:17" x14ac:dyDescent="0.25">
      <c r="A42" s="31">
        <v>1999</v>
      </c>
      <c r="B42" s="73">
        <f>'[2]Participación Mundial 02'!C14</f>
        <v>48.418999999999997</v>
      </c>
      <c r="C42" s="26">
        <v>5817.43</v>
      </c>
      <c r="D42" s="27">
        <v>23.76821</v>
      </c>
      <c r="E42" s="26">
        <v>11.617030143999999</v>
      </c>
      <c r="F42" s="127">
        <f>((Tabla1910111314324660[[#This Row],[Total exportaciones del grupo
 a USA (US$ miles)]])/(Tabla1910111314324660[[#This Row],[Total exportaciones
 a USA (US$ miles)]])/((D42/1000)/E42))</f>
        <v>4.0680219706817002</v>
      </c>
      <c r="G42" s="98" t="str">
        <f>IF(Tabla1910111314324660[[#This Row],[Indice de Balassa]]&gt;0.33,"VENTAJA","NO VENTAJA")</f>
        <v>VENTAJA</v>
      </c>
    </row>
    <row r="43" spans="1:17" x14ac:dyDescent="0.25">
      <c r="A43" s="31">
        <v>2000</v>
      </c>
      <c r="B43" s="73">
        <f>'[2]Participación Mundial 02'!C15</f>
        <v>130.333</v>
      </c>
      <c r="C43" s="26">
        <v>6632.13</v>
      </c>
      <c r="D43" s="27">
        <v>35.424984000000002</v>
      </c>
      <c r="E43" s="26">
        <v>13.158400846999999</v>
      </c>
      <c r="F43" s="127">
        <f>((Tabla1910111314324660[[#This Row],[Total exportaciones del grupo
 a USA (US$ miles)]])/(Tabla1910111314324660[[#This Row],[Total exportaciones
 a USA (US$ miles)]])/((D43/1000)/E43))</f>
        <v>7.2995285407378532</v>
      </c>
      <c r="G43" s="98" t="str">
        <f>IF(Tabla1910111314324660[[#This Row],[Indice de Balassa]]&gt;0.33,"VENTAJA","NO VENTAJA")</f>
        <v>VENTAJA</v>
      </c>
    </row>
    <row r="44" spans="1:17" x14ac:dyDescent="0.25">
      <c r="A44" s="31">
        <v>2001</v>
      </c>
      <c r="B44" s="73">
        <f>'[2]Participación Mundial 02'!C16</f>
        <v>44.466000000000001</v>
      </c>
      <c r="C44" s="26">
        <v>5344.53</v>
      </c>
      <c r="D44" s="27">
        <v>78.009989000000004</v>
      </c>
      <c r="E44" s="26">
        <v>12.301486486</v>
      </c>
      <c r="F44" s="127">
        <f>((Tabla1910111314324660[[#This Row],[Total exportaciones del grupo
 a USA (US$ miles)]])/(Tabla1910111314324660[[#This Row],[Total exportaciones
 a USA (US$ miles)]])/((D44/1000)/E44))</f>
        <v>1.3119760938931633</v>
      </c>
      <c r="G44" s="98" t="str">
        <f>IF(Tabla1910111314324660[[#This Row],[Indice de Balassa]]&gt;0.33,"VENTAJA","NO VENTAJA")</f>
        <v>VENTAJA</v>
      </c>
    </row>
    <row r="45" spans="1:17" x14ac:dyDescent="0.25">
      <c r="A45" s="31">
        <v>2002</v>
      </c>
      <c r="B45" s="73">
        <f>'[2]Participación Mundial 02'!C17</f>
        <v>1143.337</v>
      </c>
      <c r="C45" s="26">
        <v>5328.47</v>
      </c>
      <c r="D45" s="27">
        <v>54.242759</v>
      </c>
      <c r="E45" s="26">
        <v>11.897488381000001</v>
      </c>
      <c r="F45" s="127">
        <f>((Tabla1910111314324660[[#This Row],[Total exportaciones del grupo
 a USA (US$ miles)]])/(Tabla1910111314324660[[#This Row],[Total exportaciones
 a USA (US$ miles)]])/((D45/1000)/E45))</f>
        <v>47.063611578843044</v>
      </c>
      <c r="G45" s="98" t="str">
        <f>IF(Tabla1910111314324660[[#This Row],[Indice de Balassa]]&gt;0.33,"VENTAJA","NO VENTAJA")</f>
        <v>VENTAJA</v>
      </c>
    </row>
    <row r="46" spans="1:17" x14ac:dyDescent="0.25">
      <c r="A46" s="31">
        <v>2003</v>
      </c>
      <c r="B46" s="73">
        <f>'[2]Participación Mundial 02'!C18</f>
        <v>1736.789</v>
      </c>
      <c r="C46" s="26">
        <v>6160.2</v>
      </c>
      <c r="D46" s="27">
        <v>55.301279000000001</v>
      </c>
      <c r="E46" s="26">
        <v>13.092218068999999</v>
      </c>
      <c r="F46" s="127">
        <f>((Tabla1910111314324660[[#This Row],[Total exportaciones del grupo
 a USA (US$ miles)]])/(Tabla1910111314324660[[#This Row],[Total exportaciones
 a USA (US$ miles)]])/((D46/1000)/E46))</f>
        <v>66.746777370126466</v>
      </c>
      <c r="G46" s="98" t="str">
        <f>IF(Tabla1910111314324660[[#This Row],[Indice de Balassa]]&gt;0.33,"VENTAJA","NO VENTAJA")</f>
        <v>VENTAJA</v>
      </c>
    </row>
    <row r="47" spans="1:17" x14ac:dyDescent="0.25">
      <c r="A47" s="31">
        <v>2004</v>
      </c>
      <c r="B47" s="73">
        <f>'[2]Participación Mundial 02'!C19</f>
        <v>3722.8020000000001</v>
      </c>
      <c r="C47" s="26">
        <v>7042.2</v>
      </c>
      <c r="D47" s="27">
        <v>55.631245</v>
      </c>
      <c r="E47" s="26">
        <v>16.729677706</v>
      </c>
      <c r="F47" s="127">
        <f>((Tabla1910111314324660[[#This Row],[Total exportaciones del grupo
 a USA (US$ miles)]])/(Tabla1910111314324660[[#This Row],[Total exportaciones
 a USA (US$ miles)]])/((D47/1000)/E47))</f>
        <v>158.9755655651326</v>
      </c>
      <c r="G47" s="98" t="str">
        <f>IF(Tabla1910111314324660[[#This Row],[Indice de Balassa]]&gt;0.33,"VENTAJA","NO VENTAJA")</f>
        <v>VENTAJA</v>
      </c>
    </row>
    <row r="48" spans="1:17" x14ac:dyDescent="0.25">
      <c r="A48" s="31">
        <v>2005</v>
      </c>
      <c r="B48" s="73">
        <f>'[2]Participación Mundial 02'!C20</f>
        <v>2617.0740000000001</v>
      </c>
      <c r="C48" s="26">
        <v>8851.6299999999992</v>
      </c>
      <c r="D48" s="27">
        <v>63.088937000000001</v>
      </c>
      <c r="E48" s="26">
        <v>21.190438735000001</v>
      </c>
      <c r="F48" s="127">
        <f>((Tabla1910111314324660[[#This Row],[Total exportaciones del grupo
 a USA (US$ miles)]])/(Tabla1910111314324660[[#This Row],[Total exportaciones
 a USA (US$ miles)]])/((D48/1000)/E48))</f>
        <v>99.306914744510436</v>
      </c>
      <c r="G48" s="98" t="str">
        <f>IF(Tabla1910111314324660[[#This Row],[Indice de Balassa]]&gt;0.33,"VENTAJA","NO VENTAJA")</f>
        <v>VENTAJA</v>
      </c>
    </row>
    <row r="49" spans="1:25" x14ac:dyDescent="0.25">
      <c r="A49" s="31">
        <v>2006</v>
      </c>
      <c r="B49" s="73">
        <f>'[2]Participación Mundial 02'!C21</f>
        <v>2260.576</v>
      </c>
      <c r="C49" s="26">
        <v>9948.23</v>
      </c>
      <c r="D49" s="27">
        <v>58.222332999999999</v>
      </c>
      <c r="E49" s="26">
        <v>24.390975102999999</v>
      </c>
      <c r="F49" s="127">
        <f>((Tabla1910111314324660[[#This Row],[Total exportaciones del grupo
 a USA (US$ miles)]])/(Tabla1910111314324660[[#This Row],[Total exportaciones
 a USA (US$ miles)]])/((D49/1000)/E49))</f>
        <v>95.194718521920848</v>
      </c>
      <c r="G49" s="98" t="str">
        <f>IF(Tabla1910111314324660[[#This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f>'[2]Participación Mundial 02'!C22</f>
        <v>1929.002</v>
      </c>
      <c r="C50" s="26">
        <v>10609.17</v>
      </c>
      <c r="D50" s="26">
        <v>57.224280999999998</v>
      </c>
      <c r="E50" s="26">
        <v>29.991332</v>
      </c>
      <c r="F50" s="127">
        <f>((Tabla1910111314324660[[#This Row],[Total exportaciones del grupo
 a USA (US$ miles)]])/(Tabla1910111314324660[[#This Row],[Total exportaciones
 a USA (US$ miles)]])/((D50/1000)/E50))</f>
        <v>95.294246229487825</v>
      </c>
      <c r="G50" s="98" t="str">
        <f>IF(Tabla1910111314324660[[#This Row],[Indice de Balassa]]&gt;0.33,"VENTAJA","NO VENTAJA")</f>
        <v>VENTAJA</v>
      </c>
    </row>
    <row r="51" spans="1:25" x14ac:dyDescent="0.25">
      <c r="A51" s="31">
        <v>2008</v>
      </c>
      <c r="B51" s="73">
        <f>'[2]Participación Mundial 02'!C23</f>
        <v>2543.1509999999998</v>
      </c>
      <c r="C51" s="26">
        <v>14288.83</v>
      </c>
      <c r="D51" s="26">
        <v>112.57026399999999</v>
      </c>
      <c r="E51" s="26">
        <v>37.625882064999999</v>
      </c>
      <c r="F51" s="127">
        <f>((Tabla1910111314324660[[#This Row],[Total exportaciones del grupo
 a USA (US$ miles)]])/(Tabla1910111314324660[[#This Row],[Total exportaciones
 a USA (US$ miles)]])/((D51/1000)/E51))</f>
        <v>59.489248574926293</v>
      </c>
      <c r="G51" s="98" t="str">
        <f>IF(Tabla1910111314324660[[#This Row],[Indice de Balassa]]&gt;0.33,"VENTAJA","NO VENTAJA")</f>
        <v>VENTAJA</v>
      </c>
    </row>
    <row r="52" spans="1:25" x14ac:dyDescent="0.25">
      <c r="A52" s="31">
        <v>2009</v>
      </c>
      <c r="B52" s="73">
        <f>'[2]Participación Mundial 02'!C24</f>
        <v>1629.9090000000001</v>
      </c>
      <c r="C52" s="26">
        <v>13123.47</v>
      </c>
      <c r="D52" s="26">
        <v>31.813987999999998</v>
      </c>
      <c r="E52" s="26">
        <v>32.852985836999999</v>
      </c>
      <c r="F52" s="127">
        <f>((Tabla1910111314324660[[#This Row],[Total exportaciones del grupo
 a USA (US$ miles)]])/(Tabla1910111314324660[[#This Row],[Total exportaciones
 a USA (US$ miles)]])/((D52/1000)/E52))</f>
        <v>128.25414463145256</v>
      </c>
      <c r="G52" s="98" t="str">
        <f>IF(Tabla1910111314324660[[#This Row],[Indice de Balassa]]&gt;0.33,"VENTAJA","NO VENTAJA")</f>
        <v>VENTAJA</v>
      </c>
    </row>
    <row r="53" spans="1:25" x14ac:dyDescent="0.25">
      <c r="A53" s="31">
        <v>2010</v>
      </c>
      <c r="B53" s="73">
        <f>'[2]Participación Mundial 02'!C25</f>
        <v>1239.7750000000001</v>
      </c>
      <c r="C53" s="26">
        <v>17143.28</v>
      </c>
      <c r="D53" s="26">
        <v>11.864383</v>
      </c>
      <c r="E53" s="26">
        <v>39.819528642000002</v>
      </c>
      <c r="F53" s="127">
        <f>((Tabla1910111314324660[[#This Row],[Total exportaciones del grupo
 a USA (US$ miles)]])/(Tabla1910111314324660[[#This Row],[Total exportaciones
 a USA (US$ miles)]])/((D53/1000)/E53))</f>
        <v>242.71684207096092</v>
      </c>
      <c r="G53" s="98" t="str">
        <f>IF(Tabla1910111314324660[[#This Row],[Indice de Balassa]]&gt;0.33,"VENTAJA","NO VENTAJA")</f>
        <v>VENTAJA</v>
      </c>
    </row>
    <row r="54" spans="1:25" x14ac:dyDescent="0.25">
      <c r="A54" s="31">
        <v>2011</v>
      </c>
      <c r="B54" s="73">
        <f>'[2]Participación Mundial 02'!C26</f>
        <v>1556.4110000000001</v>
      </c>
      <c r="C54" s="26">
        <v>21948.53</v>
      </c>
      <c r="D54" s="26">
        <v>5.3444070000000004</v>
      </c>
      <c r="E54" s="26">
        <v>56.953516086</v>
      </c>
      <c r="F54" s="127">
        <f>((Tabla1910111314324660[[#This Row],[Total exportaciones del grupo
 a USA (US$ miles)]])/(Tabla1910111314324660[[#This Row],[Total exportaciones
 a USA (US$ miles)]])/((D54/1000)/E54))</f>
        <v>755.68337788859321</v>
      </c>
      <c r="G54" s="98" t="str">
        <f>IF(Tabla1910111314324660[[#This Row],[Indice de Balassa]]&gt;0.33,"VENTAJA","NO VENTAJA")</f>
        <v>VENTAJA</v>
      </c>
    </row>
    <row r="55" spans="1:25" x14ac:dyDescent="0.25">
      <c r="A55" s="31">
        <v>2012</v>
      </c>
      <c r="B55" s="73">
        <f>'[2]Participación Mundial 02'!C27</f>
        <v>1228.972</v>
      </c>
      <c r="C55" s="26">
        <v>22216.240000000002</v>
      </c>
      <c r="D55" s="26">
        <v>5.8505830000000003</v>
      </c>
      <c r="E55" s="26">
        <v>60.273618167999999</v>
      </c>
      <c r="F55" s="127">
        <f>((Tabla1910111314324660[[#This Row],[Total exportaciones del grupo
 a USA (US$ miles)]])/(Tabla1910111314324660[[#This Row],[Total exportaciones
 a USA (US$ miles)]])/((D55/1000)/E55))</f>
        <v>569.90116869090934</v>
      </c>
      <c r="G55" s="98" t="str">
        <f>IF(Tabla1910111314324660[[#This Row],[Indice de Balassa]]&gt;0.33,"VENTAJA","NO VENTAJA")</f>
        <v>VENTAJA</v>
      </c>
    </row>
    <row r="56" spans="1:25" x14ac:dyDescent="0.25">
      <c r="A56" s="31">
        <v>2013</v>
      </c>
      <c r="B56" s="73">
        <f>'[2]Participación Mundial 02'!C28</f>
        <v>1314.857</v>
      </c>
      <c r="C56" s="26">
        <v>18692.900000000001</v>
      </c>
      <c r="D56" s="26">
        <v>37.116770000000002</v>
      </c>
      <c r="E56" s="26">
        <v>58.821869986999999</v>
      </c>
      <c r="F56" s="127">
        <f>((Tabla1910111314324660[[#This Row],[Total exportaciones del grupo
 a USA (US$ miles)]])/(Tabla1910111314324660[[#This Row],[Total exportaciones
 a USA (US$ miles)]])/((D56/1000)/E56))</f>
        <v>111.47320588890656</v>
      </c>
      <c r="G56" s="98" t="str">
        <f>IF(Tabla1910111314324660[[#This Row],[Indice de Balassa]]&gt;0.33,"VENTAJA","NO VENTAJA")</f>
        <v>VENTAJA</v>
      </c>
    </row>
    <row r="57" spans="1:25" x14ac:dyDescent="0.25">
      <c r="A57" s="31">
        <v>2014</v>
      </c>
      <c r="B57" s="73">
        <f>'[2]Participación Mundial 02'!C29</f>
        <v>2674.6019999999999</v>
      </c>
      <c r="C57" s="26">
        <v>14470.7</v>
      </c>
      <c r="D57" s="26">
        <v>14.108098999999999</v>
      </c>
      <c r="E57" s="26">
        <v>54.794812014999998</v>
      </c>
      <c r="F57" s="127">
        <f>((Tabla1910111314324660[[#This Row],[Total exportaciones del grupo
 a USA (US$ miles)]])/(Tabla1910111314324660[[#This Row],[Total exportaciones
 a USA (US$ miles)]])/((D57/1000)/E57))</f>
        <v>717.86134411915441</v>
      </c>
      <c r="G57" s="98" t="str">
        <f>IF(Tabla1910111314324660[[#This Row],[Indice de Balassa]]&gt;0.33,"VENTAJA","NO VENTAJA")</f>
        <v>VENTAJA</v>
      </c>
    </row>
    <row r="58" spans="1:25" x14ac:dyDescent="0.25">
      <c r="A58" s="31">
        <v>2015</v>
      </c>
      <c r="B58" s="73">
        <f>'[2]Participación Mundial 02'!C30</f>
        <v>3160.4050000000002</v>
      </c>
      <c r="C58" s="3">
        <v>14074</v>
      </c>
      <c r="D58" s="3">
        <v>24.890832</v>
      </c>
      <c r="E58" s="126">
        <v>35.690766592999999</v>
      </c>
      <c r="F58" s="127">
        <f>((Tabla1910111314324660[[#This Row],[Total exportaciones del grupo
 a USA (US$ miles)]])/(Tabla1910111314324660[[#This Row],[Total exportaciones
 a USA (US$ miles)]])/((D58/1000)/E58))</f>
        <v>321.9894602811122</v>
      </c>
      <c r="G58" s="98" t="str">
        <f>IF(Tabla1910111314324660[[#This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28" t="s">
        <v>24</v>
      </c>
    </row>
    <row r="63" spans="1:25" x14ac:dyDescent="0.25">
      <c r="A63" s="31">
        <v>1991</v>
      </c>
      <c r="B63" s="73">
        <f>'Balanza c 02'!B2</f>
        <v>-1.295318</v>
      </c>
      <c r="C63" s="73">
        <f>'Apertura 02'!B184</f>
        <v>1.681718</v>
      </c>
      <c r="D63" s="32">
        <f>1-(Tabla191011131412334761[[#This Row],[Balanza Comercial Colombia 
( US$ millones)]]/Tabla191011131412334761[[#This Row],[Balanza Comercial Absoluta Colombia 
(US$ millones)]])</f>
        <v>1.770234962104229</v>
      </c>
      <c r="E63" s="2" t="str">
        <f t="shared" ref="E63:E87" si="0">IF(D63&gt;0.1&lt;0.33,"POTENCIAL CMRCIO INT",IF(D63&gt;0.33,"INDICIOS DE CMRCIO INT",IF(D63&lt;0.1,"REL. INTERINDUSTRIALES")))</f>
        <v>INDICIOS DE CMRCIO INT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>
        <f>'Balanza c 02'!B3</f>
        <v>-6.2096879999999999</v>
      </c>
      <c r="C64" s="73">
        <f>'Apertura 02'!B185</f>
        <v>6.4066039999999997</v>
      </c>
      <c r="D64" s="32">
        <f>1-(Tabla191011131412334761[[#This Row],[Balanza Comercial Colombia 
( US$ millones)]]/Tabla191011131412334761[[#This Row],[Balanza Comercial Absoluta Colombia 
(US$ millones)]])</f>
        <v>1.9692635911319007</v>
      </c>
      <c r="E64" s="2" t="str">
        <f t="shared" si="0"/>
        <v>INDICIOS DE CMRCIO INT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>
        <f>'Balanza c 02'!B4</f>
        <v>-8.9988260000000011</v>
      </c>
      <c r="C65" s="73">
        <f>'Apertura 02'!B186</f>
        <v>9.377402</v>
      </c>
      <c r="D65" s="32">
        <f>1-(Tabla191011131412334761[[#This Row],[Balanza Comercial Colombia 
( US$ millones)]]/Tabla191011131412334761[[#This Row],[Balanza Comercial Absoluta Colombia 
(US$ millones)]])</f>
        <v>1.9596289036131758</v>
      </c>
      <c r="E65" s="2" t="str">
        <f t="shared" si="0"/>
        <v>INDICIOS DE CMRCIO INT</v>
      </c>
      <c r="K65" s="49"/>
      <c r="M65" s="49"/>
      <c r="O65" s="49"/>
    </row>
    <row r="66" spans="1:15" x14ac:dyDescent="0.25">
      <c r="A66" s="31">
        <v>1994</v>
      </c>
      <c r="B66" s="73">
        <f>'Balanza c 02'!B5</f>
        <v>-5.5920209999999999</v>
      </c>
      <c r="C66" s="73">
        <f>'Apertura 02'!B187</f>
        <v>5.9545109999999992</v>
      </c>
      <c r="D66" s="32">
        <f>1-(Tabla191011131412334761[[#This Row],[Balanza Comercial Colombia 
( US$ millones)]]/Tabla191011131412334761[[#This Row],[Balanza Comercial Absoluta Colombia 
(US$ millones)]])</f>
        <v>1.939123464546459</v>
      </c>
      <c r="E66" s="2" t="str">
        <f t="shared" si="0"/>
        <v>INDICIOS DE CMRCIO INT</v>
      </c>
      <c r="K66" s="49"/>
      <c r="M66" s="52" t="s">
        <v>136</v>
      </c>
      <c r="O66" s="49"/>
    </row>
    <row r="67" spans="1:15" x14ac:dyDescent="0.25">
      <c r="A67" s="31">
        <v>1995</v>
      </c>
      <c r="B67" s="73">
        <f>'Balanza c 02'!B6</f>
        <v>-14.063348</v>
      </c>
      <c r="C67" s="73">
        <f>'Apertura 02'!B188</f>
        <v>14.700619999999999</v>
      </c>
      <c r="D67" s="32">
        <f>1-(Tabla191011131412334761[[#This Row],[Balanza Comercial Colombia 
( US$ millones)]]/Tabla191011131412334761[[#This Row],[Balanza Comercial Absoluta Colombia 
(US$ millones)]])</f>
        <v>1.956649991633006</v>
      </c>
      <c r="E67" s="2" t="str">
        <f t="shared" si="0"/>
        <v>INDICIOS DE CMRCIO INT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02'!B7</f>
        <v>-9.0878730000000001</v>
      </c>
      <c r="C68" s="73">
        <f>'Apertura 02'!B189</f>
        <v>9.4599190000000011</v>
      </c>
      <c r="D68" s="32">
        <f>1-(Tabla191011131412334761[[#This Row],[Balanza Comercial Colombia 
( US$ millones)]]/Tabla191011131412334761[[#This Row],[Balanza Comercial Absoluta Colombia 
(US$ millones)]])</f>
        <v>1.9606713334437642</v>
      </c>
      <c r="E68" s="2" t="str">
        <f t="shared" si="0"/>
        <v>INDICIOS DE CMRCIO INT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>
        <f>'Balanza c 02'!B8</f>
        <v>-13.692038</v>
      </c>
      <c r="C69" s="73">
        <f>'Apertura 02'!B190</f>
        <v>14.291315999999998</v>
      </c>
      <c r="D69" s="32">
        <f>1-(Tabla191011131412334761[[#This Row],[Balanza Comercial Colombia 
( US$ millones)]]/Tabla191011131412334761[[#This Row],[Balanza Comercial Absoluta Colombia 
(US$ millones)]])</f>
        <v>1.9580669827747146</v>
      </c>
      <c r="E69" s="2" t="str">
        <f t="shared" si="0"/>
        <v>INDICIOS DE CMRCIO INT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>
        <f>'Balanza c 02'!B9</f>
        <v>-7.9786560000000009</v>
      </c>
      <c r="C70" s="73">
        <f>'Apertura 02'!B191</f>
        <v>8.4369720000000008</v>
      </c>
      <c r="D70" s="32">
        <f>1-(Tabla191011131412334761[[#This Row],[Balanza Comercial Colombia 
( US$ millones)]]/Tabla191011131412334761[[#This Row],[Balanza Comercial Absoluta Colombia 
(US$ millones)]])</f>
        <v>1.9456776672958025</v>
      </c>
      <c r="E70" s="2" t="str">
        <f t="shared" si="0"/>
        <v>INDICIOS DE CMRCIO INT</v>
      </c>
    </row>
    <row r="71" spans="1:15" x14ac:dyDescent="0.25">
      <c r="A71" s="31">
        <v>1999</v>
      </c>
      <c r="B71" s="73">
        <f>'Balanza c 02'!B10</f>
        <v>-3.534284</v>
      </c>
      <c r="C71" s="73">
        <f>'Apertura 02'!B192</f>
        <v>3.631122</v>
      </c>
      <c r="D71" s="32">
        <f>1-(Tabla191011131412334761[[#This Row],[Balanza Comercial Colombia 
( US$ millones)]]/Tabla191011131412334761[[#This Row],[Balanza Comercial Absoluta Colombia 
(US$ millones)]])</f>
        <v>1.9733311081258078</v>
      </c>
      <c r="E71" s="2" t="str">
        <f t="shared" si="0"/>
        <v>INDICIOS DE CMRCIO INT</v>
      </c>
    </row>
    <row r="72" spans="1:15" x14ac:dyDescent="0.25">
      <c r="A72" s="31">
        <v>2000</v>
      </c>
      <c r="B72" s="73">
        <f>'Balanza c 02'!B11</f>
        <v>-4.0857589999999995</v>
      </c>
      <c r="C72" s="73">
        <f>'Apertura 02'!B193</f>
        <v>4.346425</v>
      </c>
      <c r="D72" s="32">
        <f>1-(Tabla191011131412334761[[#This Row],[Balanza Comercial Colombia 
( US$ millones)]]/Tabla191011131412334761[[#This Row],[Balanza Comercial Absoluta Colombia 
(US$ millones)]])</f>
        <v>1.9400274938598963</v>
      </c>
      <c r="E72" s="2" t="str">
        <f t="shared" si="0"/>
        <v>INDICIOS DE CMRCIO INT</v>
      </c>
    </row>
    <row r="73" spans="1:15" x14ac:dyDescent="0.25">
      <c r="A73" s="31">
        <v>2001</v>
      </c>
      <c r="B73" s="73">
        <f>'Balanza c 02'!B12</f>
        <v>-3.5983710000000002</v>
      </c>
      <c r="C73" s="73">
        <f>'Apertura 02'!B194</f>
        <v>3.687303</v>
      </c>
      <c r="D73" s="32">
        <f>1-(Tabla191011131412334761[[#This Row],[Balanza Comercial Colombia 
( US$ millones)]]/Tabla191011131412334761[[#This Row],[Balanza Comercial Absoluta Colombia 
(US$ millones)]])</f>
        <v>1.9758815589605736</v>
      </c>
      <c r="E73" s="2" t="str">
        <f t="shared" si="0"/>
        <v>INDICIOS DE CMRCIO INT</v>
      </c>
    </row>
    <row r="74" spans="1:15" x14ac:dyDescent="0.25">
      <c r="A74" s="31">
        <v>2002</v>
      </c>
      <c r="B74" s="73">
        <f>'Balanza c 02'!B13</f>
        <v>0.15057900000000002</v>
      </c>
      <c r="C74" s="73">
        <f>'Apertura 02'!B195</f>
        <v>2.1360950000000001</v>
      </c>
      <c r="D74" s="32">
        <f>1-(Tabla191011131412334761[[#This Row],[Balanza Comercial Colombia 
( US$ millones)]]/Tabla191011131412334761[[#This Row],[Balanza Comercial Absoluta Colombia 
(US$ millones)]])</f>
        <v>0.92950734869001617</v>
      </c>
      <c r="E74" s="2" t="str">
        <f t="shared" si="0"/>
        <v>INDICIOS DE CMRCIO INT</v>
      </c>
    </row>
    <row r="75" spans="1:15" x14ac:dyDescent="0.25">
      <c r="A75" s="31">
        <v>2003</v>
      </c>
      <c r="B75" s="73">
        <f>'Balanza c 02'!B14</f>
        <v>0.5500259999999999</v>
      </c>
      <c r="C75" s="73">
        <f>'Apertura 02'!B196</f>
        <v>2.9235519999999999</v>
      </c>
      <c r="D75" s="32">
        <f>1-(Tabla191011131412334761[[#This Row],[Balanza Comercial Colombia 
( US$ millones)]]/Tabla191011131412334761[[#This Row],[Balanza Comercial Absoluta Colombia 
(US$ millones)]])</f>
        <v>0.8118637876117818</v>
      </c>
      <c r="E75" s="2" t="str">
        <f t="shared" si="0"/>
        <v>INDICIOS DE CMRCIO INT</v>
      </c>
    </row>
    <row r="76" spans="1:15" x14ac:dyDescent="0.25">
      <c r="A76" s="31">
        <v>2004</v>
      </c>
      <c r="B76" s="73">
        <f>'Balanza c 02'!B15</f>
        <v>1.4736920000000002</v>
      </c>
      <c r="C76" s="73">
        <f>'Apertura 02'!B197</f>
        <v>5.9719119999999997</v>
      </c>
      <c r="D76" s="32">
        <f>1-(Tabla191011131412334761[[#This Row],[Balanza Comercial Colombia 
( US$ millones)]]/Tabla191011131412334761[[#This Row],[Balanza Comercial Absoluta Colombia 
(US$ millones)]])</f>
        <v>0.75322945147215825</v>
      </c>
      <c r="E76" s="2" t="str">
        <f t="shared" si="0"/>
        <v>INDICIOS DE CMRCIO INT</v>
      </c>
    </row>
    <row r="77" spans="1:15" x14ac:dyDescent="0.25">
      <c r="A77" s="31">
        <v>2005</v>
      </c>
      <c r="B77" s="73">
        <f>'Balanza c 02'!B16</f>
        <v>-1.379194</v>
      </c>
      <c r="C77" s="73">
        <f>'Apertura 02'!B198</f>
        <v>6.6133420000000003</v>
      </c>
      <c r="D77" s="32">
        <f>1-(Tabla191011131412334761[[#This Row],[Balanza Comercial Colombia 
( US$ millones)]]/Tabla191011131412334761[[#This Row],[Balanza Comercial Absoluta Colombia 
(US$ millones)]])</f>
        <v>1.2085472065409593</v>
      </c>
      <c r="E77" s="2" t="str">
        <f t="shared" si="0"/>
        <v>INDICIOS DE CMRCIO INT</v>
      </c>
    </row>
    <row r="78" spans="1:15" x14ac:dyDescent="0.25">
      <c r="A78" s="31">
        <v>2006</v>
      </c>
      <c r="B78" s="73">
        <f>'Balanza c 02'!B17</f>
        <v>-0.96075200000000027</v>
      </c>
      <c r="C78" s="73">
        <f>'Apertura 02'!B199</f>
        <v>5.4819040000000001</v>
      </c>
      <c r="D78" s="32">
        <f>1-(Tabla191011131412334761[[#This Row],[Balanza Comercial Colombia 
( US$ millones)]]/Tabla191011131412334761[[#This Row],[Balanza Comercial Absoluta Colombia 
(US$ millones)]])</f>
        <v>1.1752588151853809</v>
      </c>
      <c r="E78" s="2" t="str">
        <f t="shared" si="0"/>
        <v>INDICIOS DE CMRCIO INT</v>
      </c>
    </row>
    <row r="79" spans="1:15" x14ac:dyDescent="0.25">
      <c r="A79" s="31">
        <v>2007</v>
      </c>
      <c r="B79" s="73">
        <f>'Balanza c 02'!B18</f>
        <v>-2.4976750000000001</v>
      </c>
      <c r="C79" s="73">
        <f>'Apertura 02'!B200</f>
        <v>6.3556789999999994</v>
      </c>
      <c r="D79" s="32">
        <f>1-(Tabla191011131412334761[[#This Row],[Balanza Comercial Colombia 
( US$ millones)]]/Tabla191011131412334761[[#This Row],[Balanza Comercial Absoluta Colombia 
(US$ millones)]])</f>
        <v>1.3929831887356174</v>
      </c>
      <c r="E79" s="2" t="str">
        <f t="shared" si="0"/>
        <v>INDICIOS DE CMRCIO INT</v>
      </c>
    </row>
    <row r="80" spans="1:15" x14ac:dyDescent="0.25">
      <c r="A80" s="31">
        <v>2008</v>
      </c>
      <c r="B80" s="73">
        <f>'Balanza c 02'!B19</f>
        <v>-5.7803830000000005</v>
      </c>
      <c r="C80" s="73">
        <f>'Apertura 02'!B201</f>
        <v>10.866685</v>
      </c>
      <c r="D80" s="32">
        <f>1-(Tabla191011131412334761[[#This Row],[Balanza Comercial Colombia 
( US$ millones)]]/Tabla191011131412334761[[#This Row],[Balanza Comercial Absoluta Colombia 
(US$ millones)]])</f>
        <v>1.5319361884512159</v>
      </c>
      <c r="E80" s="2" t="str">
        <f t="shared" si="0"/>
        <v>INDICIOS DE CMRCIO INT</v>
      </c>
    </row>
    <row r="81" spans="1:5" x14ac:dyDescent="0.25">
      <c r="A81" s="31">
        <v>2009</v>
      </c>
      <c r="B81" s="73">
        <f>'Balanza c 02'!B20</f>
        <v>-1.4316309999999999</v>
      </c>
      <c r="C81" s="73">
        <f>'Apertura 02'!B202</f>
        <v>4.6914490000000004</v>
      </c>
      <c r="D81" s="32">
        <f>1-(Tabla191011131412334761[[#This Row],[Balanza Comercial Colombia 
( US$ millones)]]/Tabla191011131412334761[[#This Row],[Balanza Comercial Absoluta Colombia 
(US$ millones)]])</f>
        <v>1.3051575323530107</v>
      </c>
      <c r="E81" s="2" t="str">
        <f t="shared" si="0"/>
        <v>INDICIOS DE CMRCIO INT</v>
      </c>
    </row>
    <row r="82" spans="1:5" x14ac:dyDescent="0.25">
      <c r="A82" s="31">
        <v>2010</v>
      </c>
      <c r="B82" s="73">
        <f>'Balanza c 02'!B21</f>
        <v>-0.76922899999999994</v>
      </c>
      <c r="C82" s="73">
        <f>'Apertura 02'!B203</f>
        <v>3.2487789999999999</v>
      </c>
      <c r="D82" s="32">
        <f>1-(Tabla191011131412334761[[#This Row],[Balanza Comercial Colombia 
( US$ millones)]]/Tabla191011131412334761[[#This Row],[Balanza Comercial Absoluta Colombia 
(US$ millones)]])</f>
        <v>1.2367748006250965</v>
      </c>
      <c r="E82" s="2" t="str">
        <f t="shared" si="0"/>
        <v>INDICIOS DE CMRCIO INT</v>
      </c>
    </row>
    <row r="83" spans="1:5" x14ac:dyDescent="0.25">
      <c r="A83" s="31">
        <v>2011</v>
      </c>
      <c r="B83" s="73">
        <f>'Balanza c 02'!B22</f>
        <v>-1.9090209999999999</v>
      </c>
      <c r="C83" s="73">
        <f>'Apertura 02'!B204</f>
        <v>5.0218429999999996</v>
      </c>
      <c r="D83" s="32">
        <f>1-(Tabla191011131412334761[[#This Row],[Balanza Comercial Colombia 
( US$ millones)]]/Tabla191011131412334761[[#This Row],[Balanza Comercial Absoluta Colombia 
(US$ millones)]])</f>
        <v>1.3801435050836914</v>
      </c>
      <c r="E83" s="2" t="str">
        <f t="shared" si="0"/>
        <v>INDICIOS DE CMRCIO INT</v>
      </c>
    </row>
    <row r="84" spans="1:5" x14ac:dyDescent="0.25">
      <c r="A84" s="31">
        <v>2012</v>
      </c>
      <c r="B84" s="73">
        <f>'Balanza c 02'!B23</f>
        <v>-16.279916</v>
      </c>
      <c r="C84" s="73">
        <f>'Apertura 02'!B205</f>
        <v>18.737859999999998</v>
      </c>
      <c r="D84" s="32">
        <f>1-(Tabla191011131412334761[[#This Row],[Balanza Comercial Colombia 
( US$ millones)]]/Tabla191011131412334761[[#This Row],[Balanza Comercial Absoluta Colombia 
(US$ millones)]])</f>
        <v>1.8688247217131519</v>
      </c>
      <c r="E84" s="2" t="str">
        <f t="shared" si="0"/>
        <v>INDICIOS DE CMRCIO INT</v>
      </c>
    </row>
    <row r="85" spans="1:5" x14ac:dyDescent="0.25">
      <c r="A85" s="31">
        <v>2013</v>
      </c>
      <c r="B85" s="73">
        <f>'Balanza c 02'!B24</f>
        <v>-29.469000000000001</v>
      </c>
      <c r="C85" s="73">
        <f>'Apertura 02'!B206</f>
        <v>32.098714000000001</v>
      </c>
      <c r="D85" s="32">
        <f>1-(Tabla191011131412334761[[#This Row],[Balanza Comercial Colombia 
( US$ millones)]]/Tabla191011131412334761[[#This Row],[Balanza Comercial Absoluta Colombia 
(US$ millones)]])</f>
        <v>1.9180741633449863</v>
      </c>
      <c r="E85" s="2" t="str">
        <f t="shared" si="0"/>
        <v>INDICIOS DE CMRCIO INT</v>
      </c>
    </row>
    <row r="86" spans="1:5" x14ac:dyDescent="0.25">
      <c r="A86" s="31">
        <v>2014</v>
      </c>
      <c r="B86" s="73">
        <f>'Balanza c 02'!B25</f>
        <v>-48.330599999999997</v>
      </c>
      <c r="C86" s="73">
        <f>'Apertura 02'!B207</f>
        <v>53.679803999999997</v>
      </c>
      <c r="D86" s="32">
        <f>1-(Tabla191011131412334761[[#This Row],[Balanza Comercial Colombia 
( US$ millones)]]/Tabla191011131412334761[[#This Row],[Balanza Comercial Absoluta Colombia 
(US$ millones)]])</f>
        <v>1.900349785181779</v>
      </c>
      <c r="E86" s="2" t="str">
        <f t="shared" si="0"/>
        <v>INDICIOS DE CMRCIO INT</v>
      </c>
    </row>
    <row r="87" spans="1:5" x14ac:dyDescent="0.25">
      <c r="A87" s="31">
        <v>2015</v>
      </c>
      <c r="B87" s="73">
        <f>'Balanza c 02'!B26</f>
        <v>-41.942039000000001</v>
      </c>
      <c r="C87" s="73">
        <f>'Apertura 02'!B208</f>
        <v>48.262848999999996</v>
      </c>
      <c r="D87" s="32">
        <f>1-(Tabla191011131412334761[[#This Row],[Balanza Comercial Colombia 
( US$ millones)]]/Tabla191011131412334761[[#This Row],[Balanza Comercial Absoluta Colombia 
(US$ millones)]])</f>
        <v>1.8690336328881041</v>
      </c>
      <c r="E87" s="2" t="str">
        <f t="shared" si="0"/>
        <v>INDICIOS DE CMRCIO INT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7" priority="3" operator="lessThan">
      <formula>0</formula>
    </cfRule>
  </conditionalFormatting>
  <conditionalFormatting sqref="E63:E87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" sqref="B2:B26"/>
    </sheetView>
  </sheetViews>
  <sheetFormatPr baseColWidth="10" defaultRowHeight="15" x14ac:dyDescent="0.25"/>
  <cols>
    <col min="2" max="2" width="13.42578125" customWidth="1"/>
  </cols>
  <sheetData>
    <row r="1" spans="1:2" ht="60" x14ac:dyDescent="0.25">
      <c r="A1" s="34" t="s">
        <v>3</v>
      </c>
      <c r="B1" s="34" t="s">
        <v>155</v>
      </c>
    </row>
    <row r="2" spans="1:2" x14ac:dyDescent="0.25">
      <c r="A2" s="54">
        <v>1991</v>
      </c>
      <c r="B2" s="73">
        <v>63.441144000000001</v>
      </c>
    </row>
    <row r="3" spans="1:2" x14ac:dyDescent="0.25">
      <c r="A3" s="55">
        <v>1992</v>
      </c>
      <c r="B3" s="73">
        <v>48.238895999999997</v>
      </c>
    </row>
    <row r="4" spans="1:2" x14ac:dyDescent="0.25">
      <c r="A4" s="54">
        <v>1993</v>
      </c>
      <c r="B4" s="73">
        <v>63.864524000000003</v>
      </c>
    </row>
    <row r="5" spans="1:2" x14ac:dyDescent="0.25">
      <c r="A5" s="55">
        <v>1994</v>
      </c>
      <c r="B5" s="73">
        <v>84.264263999999997</v>
      </c>
    </row>
    <row r="6" spans="1:2" x14ac:dyDescent="0.25">
      <c r="A6" s="54">
        <v>1995</v>
      </c>
      <c r="B6" s="73">
        <v>86.595408000000006</v>
      </c>
    </row>
    <row r="7" spans="1:2" x14ac:dyDescent="0.25">
      <c r="A7" s="55">
        <v>1996</v>
      </c>
      <c r="B7" s="73">
        <v>73.860624000000001</v>
      </c>
    </row>
    <row r="8" spans="1:2" x14ac:dyDescent="0.25">
      <c r="A8" s="54">
        <v>1997</v>
      </c>
      <c r="B8" s="73">
        <v>66.271575999999996</v>
      </c>
    </row>
    <row r="9" spans="1:2" x14ac:dyDescent="0.25">
      <c r="A9" s="55">
        <v>1998</v>
      </c>
      <c r="B9" s="73">
        <v>40.257060000000003</v>
      </c>
    </row>
    <row r="10" spans="1:2" x14ac:dyDescent="0.25">
      <c r="A10" s="54">
        <v>1999</v>
      </c>
      <c r="B10" s="73">
        <v>50.189104</v>
      </c>
    </row>
    <row r="11" spans="1:2" x14ac:dyDescent="0.25">
      <c r="A11" s="55">
        <v>2000</v>
      </c>
      <c r="B11" s="73">
        <v>46.924646000000003</v>
      </c>
    </row>
    <row r="12" spans="1:2" x14ac:dyDescent="0.25">
      <c r="A12" s="55">
        <v>2001</v>
      </c>
      <c r="B12" s="73">
        <v>45.705840000000002</v>
      </c>
    </row>
    <row r="13" spans="1:2" x14ac:dyDescent="0.25">
      <c r="A13" s="55">
        <v>2002</v>
      </c>
      <c r="B13" s="73">
        <v>40.696807</v>
      </c>
    </row>
    <row r="14" spans="1:2" x14ac:dyDescent="0.25">
      <c r="A14" s="54">
        <v>2003</v>
      </c>
      <c r="B14" s="73">
        <v>32.985366999999997</v>
      </c>
    </row>
    <row r="15" spans="1:2" x14ac:dyDescent="0.25">
      <c r="A15" s="55">
        <v>2004</v>
      </c>
      <c r="B15" s="73">
        <v>31.343896999999998</v>
      </c>
    </row>
    <row r="16" spans="1:2" x14ac:dyDescent="0.25">
      <c r="A16" s="54">
        <v>2005</v>
      </c>
      <c r="B16" s="73">
        <v>31.474772999999999</v>
      </c>
    </row>
    <row r="17" spans="1:2" x14ac:dyDescent="0.25">
      <c r="A17" s="55">
        <v>2006</v>
      </c>
      <c r="B17" s="73">
        <v>27.746327999999998</v>
      </c>
    </row>
    <row r="18" spans="1:2" x14ac:dyDescent="0.25">
      <c r="A18" s="54">
        <v>2007</v>
      </c>
      <c r="B18" s="73">
        <v>18.709197</v>
      </c>
    </row>
    <row r="19" spans="1:2" x14ac:dyDescent="0.25">
      <c r="A19" s="55">
        <v>2008</v>
      </c>
      <c r="B19" s="73">
        <v>26.364070000000002</v>
      </c>
    </row>
    <row r="20" spans="1:2" x14ac:dyDescent="0.25">
      <c r="A20" s="54">
        <v>2009</v>
      </c>
      <c r="B20" s="73">
        <v>31.324175</v>
      </c>
    </row>
    <row r="21" spans="1:2" x14ac:dyDescent="0.25">
      <c r="A21" s="55">
        <v>2010</v>
      </c>
      <c r="B21" s="73">
        <v>49.722799000000002</v>
      </c>
    </row>
    <row r="22" spans="1:2" x14ac:dyDescent="0.25">
      <c r="A22" s="54">
        <v>2011</v>
      </c>
      <c r="B22" s="73">
        <v>52.138390999999999</v>
      </c>
    </row>
    <row r="23" spans="1:2" x14ac:dyDescent="0.25">
      <c r="A23" s="55">
        <v>2012</v>
      </c>
      <c r="B23" s="73">
        <v>70.997045</v>
      </c>
    </row>
    <row r="24" spans="1:2" x14ac:dyDescent="0.25">
      <c r="A24" s="54">
        <v>2013</v>
      </c>
      <c r="B24" s="73">
        <v>62.781016999999999</v>
      </c>
    </row>
    <row r="25" spans="1:2" x14ac:dyDescent="0.25">
      <c r="A25" s="55">
        <v>2014</v>
      </c>
      <c r="B25" s="73">
        <v>79.216997000000006</v>
      </c>
    </row>
    <row r="26" spans="1:2" x14ac:dyDescent="0.25">
      <c r="A26" s="54">
        <v>2015</v>
      </c>
      <c r="B26" s="73">
        <v>68.660020000000003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" sqref="B2:B26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120</v>
      </c>
    </row>
    <row r="2" spans="1:2" x14ac:dyDescent="0.25">
      <c r="A2" s="54">
        <v>1991</v>
      </c>
      <c r="B2" s="73">
        <v>802.80499999999995</v>
      </c>
    </row>
    <row r="3" spans="1:2" x14ac:dyDescent="0.25">
      <c r="A3" s="55">
        <v>1992</v>
      </c>
      <c r="B3" s="73">
        <v>812.29200000000003</v>
      </c>
    </row>
    <row r="4" spans="1:2" x14ac:dyDescent="0.25">
      <c r="A4" s="54">
        <v>1993</v>
      </c>
      <c r="B4" s="73">
        <v>925.322</v>
      </c>
    </row>
    <row r="5" spans="1:2" x14ac:dyDescent="0.25">
      <c r="A5" s="55">
        <v>1994</v>
      </c>
      <c r="B5" s="73">
        <v>1196.9010000000001</v>
      </c>
    </row>
    <row r="6" spans="1:2" x14ac:dyDescent="0.25">
      <c r="A6" s="54">
        <v>1995</v>
      </c>
      <c r="B6" s="73">
        <v>1228.4079999999999</v>
      </c>
    </row>
    <row r="7" spans="1:2" x14ac:dyDescent="0.25">
      <c r="A7" s="55">
        <v>1996</v>
      </c>
      <c r="B7" s="73">
        <v>1380.682</v>
      </c>
    </row>
    <row r="8" spans="1:2" x14ac:dyDescent="0.25">
      <c r="A8" s="54">
        <v>1997</v>
      </c>
      <c r="B8" s="73">
        <v>1515.021</v>
      </c>
    </row>
    <row r="9" spans="1:2" x14ac:dyDescent="0.25">
      <c r="A9" s="55">
        <v>1998</v>
      </c>
      <c r="B9" s="73">
        <v>2204.0390000000002</v>
      </c>
    </row>
    <row r="10" spans="1:2" x14ac:dyDescent="0.25">
      <c r="A10" s="54">
        <v>1999</v>
      </c>
      <c r="B10" s="73">
        <v>1092.951</v>
      </c>
    </row>
    <row r="11" spans="1:2" x14ac:dyDescent="0.25">
      <c r="A11" s="55">
        <v>2000</v>
      </c>
      <c r="B11" s="73">
        <v>1017.932</v>
      </c>
    </row>
    <row r="12" spans="1:2" x14ac:dyDescent="0.25">
      <c r="A12" s="54">
        <v>2001</v>
      </c>
      <c r="B12" s="73">
        <v>956.29399999999998</v>
      </c>
    </row>
    <row r="13" spans="1:2" x14ac:dyDescent="0.25">
      <c r="A13" s="55">
        <v>2002</v>
      </c>
      <c r="B13" s="73">
        <v>820.83399999999995</v>
      </c>
    </row>
    <row r="14" spans="1:2" x14ac:dyDescent="0.25">
      <c r="A14" s="54">
        <v>2003</v>
      </c>
      <c r="B14" s="73">
        <v>507.65699999999998</v>
      </c>
    </row>
    <row r="15" spans="1:2" x14ac:dyDescent="0.25">
      <c r="A15" s="55">
        <v>2004</v>
      </c>
      <c r="B15" s="73">
        <v>728.75400000000002</v>
      </c>
    </row>
    <row r="16" spans="1:2" x14ac:dyDescent="0.25">
      <c r="A16" s="54">
        <v>2005</v>
      </c>
      <c r="B16" s="73">
        <v>1047.9079999999999</v>
      </c>
    </row>
    <row r="17" spans="1:2" x14ac:dyDescent="0.25">
      <c r="A17" s="55">
        <v>2006</v>
      </c>
      <c r="B17" s="73">
        <v>1532.8219999999999</v>
      </c>
    </row>
    <row r="18" spans="1:2" x14ac:dyDescent="0.25">
      <c r="A18" s="54">
        <v>2007</v>
      </c>
      <c r="B18" s="73">
        <v>1467.0630000000001</v>
      </c>
    </row>
    <row r="19" spans="1:2" x14ac:dyDescent="0.25">
      <c r="A19" s="55">
        <v>2008</v>
      </c>
      <c r="B19" s="73">
        <v>2303.5450000000001</v>
      </c>
    </row>
    <row r="20" spans="1:2" x14ac:dyDescent="0.25">
      <c r="A20" s="54">
        <v>2009</v>
      </c>
      <c r="B20" s="73">
        <v>1612.6079999999999</v>
      </c>
    </row>
    <row r="21" spans="1:2" x14ac:dyDescent="0.25">
      <c r="A21" s="55">
        <v>2010</v>
      </c>
      <c r="B21" s="73">
        <v>2935.0540000000001</v>
      </c>
    </row>
    <row r="22" spans="1:2" x14ac:dyDescent="0.25">
      <c r="A22" s="54">
        <v>2011</v>
      </c>
      <c r="B22" s="73">
        <v>2265.7539999999999</v>
      </c>
    </row>
    <row r="23" spans="1:2" x14ac:dyDescent="0.25">
      <c r="A23" s="55">
        <v>2012</v>
      </c>
      <c r="B23" s="73">
        <v>2209.4899999999998</v>
      </c>
    </row>
    <row r="24" spans="1:2" x14ac:dyDescent="0.25">
      <c r="A24" s="54">
        <v>2013</v>
      </c>
      <c r="B24" s="73">
        <v>19122.162</v>
      </c>
    </row>
    <row r="25" spans="1:2" x14ac:dyDescent="0.25">
      <c r="A25" s="55">
        <v>2014</v>
      </c>
      <c r="B25" s="73">
        <v>11780.574000000001</v>
      </c>
    </row>
    <row r="26" spans="1:2" x14ac:dyDescent="0.25">
      <c r="A26" s="54">
        <v>2015</v>
      </c>
      <c r="B26" s="73">
        <v>15830.123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2" sqref="B2:B26"/>
    </sheetView>
  </sheetViews>
  <sheetFormatPr baseColWidth="10" defaultRowHeight="15" x14ac:dyDescent="0.25"/>
  <cols>
    <col min="2" max="2" width="12.85546875" customWidth="1"/>
  </cols>
  <sheetData>
    <row r="1" spans="1:7" ht="75" x14ac:dyDescent="0.25">
      <c r="A1" s="34" t="s">
        <v>3</v>
      </c>
      <c r="B1" s="34" t="s">
        <v>142</v>
      </c>
    </row>
    <row r="2" spans="1:7" x14ac:dyDescent="0.25">
      <c r="A2" s="54">
        <v>1991</v>
      </c>
      <c r="B2" s="74">
        <f>'Export 03'!B2-('Import 03'!B2/1000)</f>
        <v>62.638339000000002</v>
      </c>
      <c r="D2" s="128" t="s">
        <v>36</v>
      </c>
      <c r="E2" s="128"/>
      <c r="F2" s="91" t="s">
        <v>10</v>
      </c>
      <c r="G2" s="7" t="s">
        <v>37</v>
      </c>
    </row>
    <row r="3" spans="1:7" x14ac:dyDescent="0.25">
      <c r="A3" s="55">
        <v>1992</v>
      </c>
      <c r="B3" s="74">
        <f>'Export 03'!B3-('Import 03'!B3/1000)</f>
        <v>47.426603999999998</v>
      </c>
    </row>
    <row r="4" spans="1:7" x14ac:dyDescent="0.25">
      <c r="A4" s="54">
        <v>1993</v>
      </c>
      <c r="B4" s="74">
        <f>'Export 03'!B4-('Import 03'!B4/1000)</f>
        <v>62.939202000000002</v>
      </c>
    </row>
    <row r="5" spans="1:7" x14ac:dyDescent="0.25">
      <c r="A5" s="55">
        <v>1994</v>
      </c>
      <c r="B5" s="74">
        <f>'Export 03'!B5-('Import 03'!B5/1000)</f>
        <v>83.067363</v>
      </c>
    </row>
    <row r="6" spans="1:7" x14ac:dyDescent="0.25">
      <c r="A6" s="54">
        <v>1995</v>
      </c>
      <c r="B6" s="74">
        <f>'Export 03'!B6-('Import 03'!B6/1000)</f>
        <v>85.367000000000004</v>
      </c>
    </row>
    <row r="7" spans="1:7" x14ac:dyDescent="0.25">
      <c r="A7" s="55">
        <v>1996</v>
      </c>
      <c r="B7" s="74">
        <f>'Export 03'!B7-('Import 03'!B7/1000)</f>
        <v>72.479942000000008</v>
      </c>
    </row>
    <row r="8" spans="1:7" x14ac:dyDescent="0.25">
      <c r="A8" s="54">
        <v>1997</v>
      </c>
      <c r="B8" s="74">
        <f>'Export 03'!B8-('Import 03'!B8/1000)</f>
        <v>64.756554999999992</v>
      </c>
    </row>
    <row r="9" spans="1:7" x14ac:dyDescent="0.25">
      <c r="A9" s="55">
        <v>1998</v>
      </c>
      <c r="B9" s="74">
        <f>'Export 03'!B9-('Import 03'!B9/1000)</f>
        <v>38.053021000000001</v>
      </c>
    </row>
    <row r="10" spans="1:7" x14ac:dyDescent="0.25">
      <c r="A10" s="54">
        <v>1999</v>
      </c>
      <c r="B10" s="74">
        <f>'Export 03'!B10-('Import 03'!B10/1000)</f>
        <v>49.096153000000001</v>
      </c>
    </row>
    <row r="11" spans="1:7" x14ac:dyDescent="0.25">
      <c r="A11" s="55">
        <v>2000</v>
      </c>
      <c r="B11" s="74">
        <f>'Export 03'!B11-('Import 03'!B11/1000)</f>
        <v>45.906714000000001</v>
      </c>
    </row>
    <row r="12" spans="1:7" x14ac:dyDescent="0.25">
      <c r="A12" s="54">
        <v>2001</v>
      </c>
      <c r="B12" s="74">
        <f>'Export 03'!B12-('Import 03'!B12/1000)</f>
        <v>44.749546000000002</v>
      </c>
    </row>
    <row r="13" spans="1:7" x14ac:dyDescent="0.25">
      <c r="A13" s="55">
        <v>2002</v>
      </c>
      <c r="B13" s="74">
        <f>'Export 03'!B13-('Import 03'!B13/1000)</f>
        <v>39.875973000000002</v>
      </c>
    </row>
    <row r="14" spans="1:7" x14ac:dyDescent="0.25">
      <c r="A14" s="54">
        <v>2003</v>
      </c>
      <c r="B14" s="74">
        <f>'Export 03'!B14-('Import 03'!B14/1000)</f>
        <v>32.477709999999995</v>
      </c>
    </row>
    <row r="15" spans="1:7" x14ac:dyDescent="0.25">
      <c r="A15" s="55">
        <v>2004</v>
      </c>
      <c r="B15" s="74">
        <f>'Export 03'!B15-('Import 03'!B15/1000)</f>
        <v>30.615143</v>
      </c>
    </row>
    <row r="16" spans="1:7" x14ac:dyDescent="0.25">
      <c r="A16" s="54">
        <v>2005</v>
      </c>
      <c r="B16" s="74">
        <f>'Export 03'!B16-('Import 03'!B16/1000)</f>
        <v>30.426864999999999</v>
      </c>
    </row>
    <row r="17" spans="1:2" x14ac:dyDescent="0.25">
      <c r="A17" s="55">
        <v>2006</v>
      </c>
      <c r="B17" s="74">
        <f>'Export 03'!B17-('Import 03'!B17/1000)</f>
        <v>26.213505999999999</v>
      </c>
    </row>
    <row r="18" spans="1:2" x14ac:dyDescent="0.25">
      <c r="A18" s="54">
        <v>2007</v>
      </c>
      <c r="B18" s="74">
        <f>'Export 03'!B18-('Import 03'!B18/1000)</f>
        <v>17.242134</v>
      </c>
    </row>
    <row r="19" spans="1:2" x14ac:dyDescent="0.25">
      <c r="A19" s="55">
        <v>2008</v>
      </c>
      <c r="B19" s="74">
        <f>'Export 03'!B19-('Import 03'!B19/1000)</f>
        <v>24.060525000000002</v>
      </c>
    </row>
    <row r="20" spans="1:2" x14ac:dyDescent="0.25">
      <c r="A20" s="54">
        <v>2009</v>
      </c>
      <c r="B20" s="74">
        <f>'Export 03'!B20-('Import 03'!B20/1000)</f>
        <v>29.711566999999999</v>
      </c>
    </row>
    <row r="21" spans="1:2" x14ac:dyDescent="0.25">
      <c r="A21" s="55">
        <v>2010</v>
      </c>
      <c r="B21" s="74">
        <f>'Export 03'!B21-('Import 03'!B21/1000)</f>
        <v>46.787745000000001</v>
      </c>
    </row>
    <row r="22" spans="1:2" x14ac:dyDescent="0.25">
      <c r="A22" s="54">
        <v>2011</v>
      </c>
      <c r="B22" s="74">
        <f>'Export 03'!B22-('Import 03'!B22/1000)</f>
        <v>49.872636999999997</v>
      </c>
    </row>
    <row r="23" spans="1:2" x14ac:dyDescent="0.25">
      <c r="A23" s="55">
        <v>2012</v>
      </c>
      <c r="B23" s="74">
        <f>'Export 03'!B23-('Import 03'!B23/1000)</f>
        <v>68.787554999999998</v>
      </c>
    </row>
    <row r="24" spans="1:2" x14ac:dyDescent="0.25">
      <c r="A24" s="54">
        <v>2013</v>
      </c>
      <c r="B24" s="74">
        <f>'Export 03'!B24-('Import 03'!B24/1000)</f>
        <v>43.658855000000003</v>
      </c>
    </row>
    <row r="25" spans="1:2" x14ac:dyDescent="0.25">
      <c r="A25" s="55">
        <v>2014</v>
      </c>
      <c r="B25" s="74">
        <f>'Export 03'!B25-('Import 03'!B25/1000)</f>
        <v>67.436423000000005</v>
      </c>
    </row>
    <row r="26" spans="1:2" x14ac:dyDescent="0.25">
      <c r="A26" s="54">
        <v>2015</v>
      </c>
      <c r="B26" s="74">
        <f>'Export 03'!B26-('Import 03'!B26/1000)</f>
        <v>52.829897000000003</v>
      </c>
    </row>
    <row r="27" spans="1:2" x14ac:dyDescent="0.25">
      <c r="A27" t="s">
        <v>117</v>
      </c>
      <c r="B27" s="103"/>
    </row>
    <row r="28" spans="1:2" x14ac:dyDescent="0.25">
      <c r="B28" s="104"/>
    </row>
    <row r="29" spans="1:2" x14ac:dyDescent="0.25">
      <c r="B29" s="104"/>
    </row>
    <row r="30" spans="1:2" x14ac:dyDescent="0.25">
      <c r="B30" s="104"/>
    </row>
  </sheetData>
  <mergeCells count="1">
    <mergeCell ref="D2:E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118" zoomScale="110" zoomScaleNormal="110" workbookViewId="0">
      <selection activeCell="B67" sqref="B67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4.28515625" bestFit="1" customWidth="1"/>
    <col min="6" max="6" width="13.28515625" customWidth="1"/>
    <col min="7" max="8" width="12.5703125" customWidth="1"/>
    <col min="9" max="9" width="3.7109375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91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13</v>
      </c>
      <c r="C6" s="13" t="s">
        <v>9</v>
      </c>
      <c r="D6" s="14" t="s">
        <v>4</v>
      </c>
    </row>
    <row r="7" spans="1:10" x14ac:dyDescent="0.25">
      <c r="A7" s="10">
        <v>1991</v>
      </c>
      <c r="B7" s="93">
        <f>'Export 03'!B2</f>
        <v>63.441144000000001</v>
      </c>
      <c r="C7" s="5">
        <v>41239.551378248201</v>
      </c>
      <c r="D7" s="19">
        <f t="shared" ref="D7:D31" si="0">B7/(C7*1000)</f>
        <v>1.5383567929272391E-6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93">
        <f>'Export 03'!B3</f>
        <v>48.238895999999997</v>
      </c>
      <c r="C8" s="5">
        <v>49279.585355094838</v>
      </c>
      <c r="D8" s="19">
        <f t="shared" si="0"/>
        <v>9.7888193767062105E-7</v>
      </c>
    </row>
    <row r="9" spans="1:10" x14ac:dyDescent="0.25">
      <c r="A9" s="10">
        <v>1993</v>
      </c>
      <c r="B9" s="93">
        <f>'Export 03'!B4</f>
        <v>63.864524000000003</v>
      </c>
      <c r="C9" s="5">
        <v>55802.540100979531</v>
      </c>
      <c r="D9" s="19">
        <f t="shared" si="0"/>
        <v>1.1444734215401595E-6</v>
      </c>
    </row>
    <row r="10" spans="1:10" x14ac:dyDescent="0.25">
      <c r="A10" s="10">
        <v>1994</v>
      </c>
      <c r="B10" s="93">
        <f>'Export 03'!B5</f>
        <v>84.264263999999997</v>
      </c>
      <c r="C10" s="5">
        <v>81703.496603993364</v>
      </c>
      <c r="D10" s="19">
        <f t="shared" si="0"/>
        <v>1.0313422007924378E-6</v>
      </c>
    </row>
    <row r="11" spans="1:10" x14ac:dyDescent="0.25">
      <c r="A11" s="10">
        <v>1995</v>
      </c>
      <c r="B11" s="93">
        <f>'Export 03'!B6</f>
        <v>86.595408000000006</v>
      </c>
      <c r="C11" s="5">
        <v>92507.277798198498</v>
      </c>
      <c r="D11" s="19">
        <f t="shared" si="0"/>
        <v>9.360929222120769E-7</v>
      </c>
    </row>
    <row r="12" spans="1:10" x14ac:dyDescent="0.25">
      <c r="A12" s="10">
        <v>1996</v>
      </c>
      <c r="B12" s="93">
        <f>'Export 03'!B7</f>
        <v>73.860624000000001</v>
      </c>
      <c r="C12" s="5">
        <v>97160.111573336981</v>
      </c>
      <c r="D12" s="19">
        <f t="shared" si="0"/>
        <v>7.6019492777393121E-7</v>
      </c>
    </row>
    <row r="13" spans="1:10" x14ac:dyDescent="0.25">
      <c r="A13" s="10">
        <v>1997</v>
      </c>
      <c r="B13" s="93">
        <f>'Export 03'!B8</f>
        <v>66.271575999999996</v>
      </c>
      <c r="C13" s="5">
        <v>106659.5079635281</v>
      </c>
      <c r="D13" s="19">
        <f t="shared" si="0"/>
        <v>6.2133772474050196E-7</v>
      </c>
    </row>
    <row r="14" spans="1:10" x14ac:dyDescent="0.25">
      <c r="A14" s="10">
        <v>1998</v>
      </c>
      <c r="B14" s="93">
        <f>'Export 03'!B9</f>
        <v>40.257060000000003</v>
      </c>
      <c r="C14" s="5">
        <v>98443.743190849113</v>
      </c>
      <c r="D14" s="19">
        <f t="shared" si="0"/>
        <v>4.0893467370450537E-7</v>
      </c>
    </row>
    <row r="15" spans="1:10" x14ac:dyDescent="0.25">
      <c r="A15" s="10">
        <v>1999</v>
      </c>
      <c r="B15" s="93">
        <f>'Export 03'!B10</f>
        <v>50.189104</v>
      </c>
      <c r="C15" s="5">
        <v>86186.156584381664</v>
      </c>
      <c r="D15" s="19">
        <f t="shared" si="0"/>
        <v>5.8233370635180497E-7</v>
      </c>
    </row>
    <row r="16" spans="1:10" x14ac:dyDescent="0.25">
      <c r="A16" s="10">
        <v>2000</v>
      </c>
      <c r="B16" s="93">
        <f>'Export 03'!B11</f>
        <v>46.924646000000003</v>
      </c>
      <c r="C16" s="5">
        <v>99886.577575544405</v>
      </c>
      <c r="D16" s="19">
        <f t="shared" si="0"/>
        <v>4.6977929506605438E-7</v>
      </c>
    </row>
    <row r="17" spans="1:4" x14ac:dyDescent="0.25">
      <c r="A17" s="10">
        <v>2001</v>
      </c>
      <c r="B17" s="93">
        <f>'Export 03'!B12</f>
        <v>45.705840000000002</v>
      </c>
      <c r="C17" s="5">
        <v>98203.544965267793</v>
      </c>
      <c r="D17" s="19">
        <f t="shared" si="0"/>
        <v>4.6541945116304147E-7</v>
      </c>
    </row>
    <row r="18" spans="1:4" x14ac:dyDescent="0.25">
      <c r="A18" s="10">
        <v>2002</v>
      </c>
      <c r="B18" s="93">
        <f>'Export 03'!B13</f>
        <v>40.696807</v>
      </c>
      <c r="C18" s="5">
        <v>97933.392356425262</v>
      </c>
      <c r="D18" s="19">
        <f t="shared" si="0"/>
        <v>4.1555598168074638E-7</v>
      </c>
    </row>
    <row r="19" spans="1:4" x14ac:dyDescent="0.25">
      <c r="A19" s="10">
        <v>2003</v>
      </c>
      <c r="B19" s="93">
        <f>'Export 03'!B14</f>
        <v>32.985366999999997</v>
      </c>
      <c r="C19" s="5">
        <v>94684.582573316715</v>
      </c>
      <c r="D19" s="19">
        <f t="shared" si="0"/>
        <v>3.4837104524866629E-7</v>
      </c>
    </row>
    <row r="20" spans="1:4" x14ac:dyDescent="0.25">
      <c r="A20" s="10">
        <v>2004</v>
      </c>
      <c r="B20" s="93">
        <f>'Export 03'!B15</f>
        <v>31.343896999999998</v>
      </c>
      <c r="C20" s="5">
        <v>117074.86551527939</v>
      </c>
      <c r="D20" s="19">
        <f t="shared" si="0"/>
        <v>2.6772524454370879E-7</v>
      </c>
    </row>
    <row r="21" spans="1:4" x14ac:dyDescent="0.25">
      <c r="A21" s="10">
        <v>2005</v>
      </c>
      <c r="B21" s="93">
        <f>'Export 03'!B16</f>
        <v>31.474772999999999</v>
      </c>
      <c r="C21" s="5">
        <v>146566.26631057015</v>
      </c>
      <c r="D21" s="19">
        <f t="shared" si="0"/>
        <v>2.147477301039092E-7</v>
      </c>
    </row>
    <row r="22" spans="1:4" x14ac:dyDescent="0.25">
      <c r="A22" s="10">
        <v>2006</v>
      </c>
      <c r="B22" s="93">
        <f>'Export 03'!B17</f>
        <v>27.746327999999998</v>
      </c>
      <c r="C22" s="5">
        <v>162590.1460964143</v>
      </c>
      <c r="D22" s="19">
        <f t="shared" si="0"/>
        <v>1.706519654859447E-7</v>
      </c>
    </row>
    <row r="23" spans="1:4" x14ac:dyDescent="0.25">
      <c r="A23" s="10">
        <v>2007</v>
      </c>
      <c r="B23" s="93">
        <f>'Export 03'!B18</f>
        <v>18.709197</v>
      </c>
      <c r="C23" s="5">
        <v>207416.49464237894</v>
      </c>
      <c r="D23" s="19">
        <f t="shared" si="0"/>
        <v>9.0201104942294079E-8</v>
      </c>
    </row>
    <row r="24" spans="1:4" x14ac:dyDescent="0.25">
      <c r="A24" s="10">
        <v>2008</v>
      </c>
      <c r="B24" s="93">
        <f>'Export 03'!B19</f>
        <v>26.364070000000002</v>
      </c>
      <c r="C24" s="5">
        <v>243982.43787084011</v>
      </c>
      <c r="D24" s="19">
        <f t="shared" si="0"/>
        <v>1.0805724473478974E-7</v>
      </c>
    </row>
    <row r="25" spans="1:4" x14ac:dyDescent="0.25">
      <c r="A25" s="10">
        <v>2009</v>
      </c>
      <c r="B25" s="93">
        <f>'Export 03'!B20</f>
        <v>31.324175</v>
      </c>
      <c r="C25" s="5">
        <v>233821.6705442575</v>
      </c>
      <c r="D25" s="19">
        <f t="shared" si="0"/>
        <v>1.3396609017071836E-7</v>
      </c>
    </row>
    <row r="26" spans="1:4" x14ac:dyDescent="0.25">
      <c r="A26" s="10">
        <v>2010</v>
      </c>
      <c r="B26" s="93">
        <f>'Export 03'!B21</f>
        <v>49.722799000000002</v>
      </c>
      <c r="C26" s="5">
        <v>287018.18463752925</v>
      </c>
      <c r="D26" s="19">
        <f t="shared" si="0"/>
        <v>1.7323919410470155E-7</v>
      </c>
    </row>
    <row r="27" spans="1:4" x14ac:dyDescent="0.25">
      <c r="A27" s="10">
        <v>2011</v>
      </c>
      <c r="B27" s="93">
        <f>'Export 03'!B22</f>
        <v>52.138390999999999</v>
      </c>
      <c r="C27" s="5">
        <v>335415.15670218616</v>
      </c>
      <c r="D27" s="19">
        <f t="shared" si="0"/>
        <v>1.5544434995909704E-7</v>
      </c>
    </row>
    <row r="28" spans="1:4" x14ac:dyDescent="0.25">
      <c r="A28" s="10">
        <v>2012</v>
      </c>
      <c r="B28" s="93">
        <f>'Export 03'!B23</f>
        <v>70.997045</v>
      </c>
      <c r="C28" s="5">
        <v>369659.70037551981</v>
      </c>
      <c r="D28" s="19">
        <f t="shared" si="0"/>
        <v>1.9206054900730986E-7</v>
      </c>
    </row>
    <row r="29" spans="1:4" x14ac:dyDescent="0.25">
      <c r="A29" s="10">
        <v>2013</v>
      </c>
      <c r="B29" s="93">
        <f>'Export 03'!B24</f>
        <v>62.781016999999999</v>
      </c>
      <c r="C29" s="5">
        <v>380191.88186037214</v>
      </c>
      <c r="D29" s="19">
        <f t="shared" si="0"/>
        <v>1.6512981995511605E-7</v>
      </c>
    </row>
    <row r="30" spans="1:4" x14ac:dyDescent="0.25">
      <c r="A30" s="10">
        <v>2014</v>
      </c>
      <c r="B30" s="93">
        <f>'Export 03'!B25</f>
        <v>79.216997000000006</v>
      </c>
      <c r="C30" s="5">
        <v>378416.02053371473</v>
      </c>
      <c r="D30" s="19">
        <f t="shared" si="0"/>
        <v>2.0933838078068956E-7</v>
      </c>
    </row>
    <row r="31" spans="1:4" x14ac:dyDescent="0.25">
      <c r="A31" s="11">
        <v>2015</v>
      </c>
      <c r="B31" s="93">
        <f>'Export 03'!B26</f>
        <v>68.660020000000003</v>
      </c>
      <c r="C31" s="6">
        <v>292080.15563330991</v>
      </c>
      <c r="D31" s="19">
        <f t="shared" si="0"/>
        <v>2.3507252607122947E-7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122</v>
      </c>
      <c r="C35" s="13" t="s">
        <v>9</v>
      </c>
      <c r="D35" s="14" t="s">
        <v>40</v>
      </c>
    </row>
    <row r="36" spans="1:10" x14ac:dyDescent="0.25">
      <c r="A36" s="10">
        <v>1991</v>
      </c>
      <c r="B36" s="93">
        <f>'Import 03'!B2</f>
        <v>802.80499999999995</v>
      </c>
      <c r="C36" s="5">
        <v>41239.551378248172</v>
      </c>
      <c r="D36" s="75">
        <f t="shared" ref="D36:D60" si="1">(B36/C36)/10000</f>
        <v>1.9466870350666327E-6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93">
        <f>'Import 03'!B3</f>
        <v>812.29200000000003</v>
      </c>
      <c r="C37" s="5">
        <v>49279.585355094838</v>
      </c>
      <c r="D37" s="75">
        <f t="shared" si="1"/>
        <v>1.6483336743741903E-6</v>
      </c>
    </row>
    <row r="38" spans="1:10" x14ac:dyDescent="0.25">
      <c r="A38" s="10">
        <v>1993</v>
      </c>
      <c r="B38" s="93">
        <f>'Import 03'!B4</f>
        <v>925.322</v>
      </c>
      <c r="C38" s="5">
        <v>55802.540100979531</v>
      </c>
      <c r="D38" s="75">
        <f t="shared" si="1"/>
        <v>1.6582076699833907E-6</v>
      </c>
    </row>
    <row r="39" spans="1:10" x14ac:dyDescent="0.25">
      <c r="A39" s="10">
        <v>1994</v>
      </c>
      <c r="B39" s="93">
        <f>'Import 03'!B5</f>
        <v>1196.9010000000001</v>
      </c>
      <c r="C39" s="5">
        <v>81703.496603993364</v>
      </c>
      <c r="D39" s="75">
        <f t="shared" si="1"/>
        <v>1.4649324077294142E-6</v>
      </c>
    </row>
    <row r="40" spans="1:10" x14ac:dyDescent="0.25">
      <c r="A40" s="10">
        <v>1995</v>
      </c>
      <c r="B40" s="93">
        <f>'Import 03'!B6</f>
        <v>1228.4079999999999</v>
      </c>
      <c r="C40" s="5">
        <v>92507.277798198498</v>
      </c>
      <c r="D40" s="75">
        <f t="shared" si="1"/>
        <v>1.327904170609939E-6</v>
      </c>
    </row>
    <row r="41" spans="1:10" x14ac:dyDescent="0.25">
      <c r="A41" s="10">
        <v>1996</v>
      </c>
      <c r="B41" s="93">
        <f>'Import 03'!B7</f>
        <v>1380.682</v>
      </c>
      <c r="C41" s="5">
        <v>97160.111573336981</v>
      </c>
      <c r="D41" s="75">
        <f t="shared" si="1"/>
        <v>1.4210378905934599E-6</v>
      </c>
    </row>
    <row r="42" spans="1:10" x14ac:dyDescent="0.25">
      <c r="A42" s="10">
        <v>1997</v>
      </c>
      <c r="B42" s="93">
        <f>'Import 03'!B8</f>
        <v>1515.021</v>
      </c>
      <c r="C42" s="5">
        <v>106659.5079635281</v>
      </c>
      <c r="D42" s="75">
        <f t="shared" si="1"/>
        <v>1.4204275164273746E-6</v>
      </c>
    </row>
    <row r="43" spans="1:10" x14ac:dyDescent="0.25">
      <c r="A43" s="10">
        <v>1998</v>
      </c>
      <c r="B43" s="93">
        <f>'Import 03'!B9</f>
        <v>2204.0390000000002</v>
      </c>
      <c r="C43" s="5">
        <v>98443.743190849113</v>
      </c>
      <c r="D43" s="75">
        <f t="shared" si="1"/>
        <v>2.2388817496782036E-6</v>
      </c>
    </row>
    <row r="44" spans="1:10" x14ac:dyDescent="0.25">
      <c r="A44" s="10">
        <v>1999</v>
      </c>
      <c r="B44" s="93">
        <f>'Import 03'!B10</f>
        <v>1092.951</v>
      </c>
      <c r="C44" s="5">
        <v>86186.156584381664</v>
      </c>
      <c r="D44" s="75">
        <f t="shared" si="1"/>
        <v>1.2681282508867098E-6</v>
      </c>
    </row>
    <row r="45" spans="1:10" x14ac:dyDescent="0.25">
      <c r="A45" s="10">
        <v>2000</v>
      </c>
      <c r="B45" s="93">
        <f>'Import 03'!B11</f>
        <v>1017.932</v>
      </c>
      <c r="C45" s="5">
        <v>99886.577575544405</v>
      </c>
      <c r="D45" s="75">
        <f t="shared" si="1"/>
        <v>1.0190878741742213E-6</v>
      </c>
    </row>
    <row r="46" spans="1:10" x14ac:dyDescent="0.25">
      <c r="A46" s="10">
        <v>2001</v>
      </c>
      <c r="B46" s="93">
        <f>'Import 03'!B12</f>
        <v>956.29399999999998</v>
      </c>
      <c r="C46" s="5">
        <v>98203.544965267793</v>
      </c>
      <c r="D46" s="75">
        <f t="shared" si="1"/>
        <v>9.7378765739894395E-7</v>
      </c>
    </row>
    <row r="47" spans="1:10" x14ac:dyDescent="0.25">
      <c r="A47" s="10">
        <v>2002</v>
      </c>
      <c r="B47" s="93">
        <f>'Import 03'!B13</f>
        <v>820.83399999999995</v>
      </c>
      <c r="C47" s="5">
        <v>97933.392356425262</v>
      </c>
      <c r="D47" s="75">
        <f t="shared" si="1"/>
        <v>8.3815538321454478E-7</v>
      </c>
    </row>
    <row r="48" spans="1:10" x14ac:dyDescent="0.25">
      <c r="A48" s="10">
        <v>2003</v>
      </c>
      <c r="B48" s="93">
        <f>'Import 03'!B14</f>
        <v>507.65699999999998</v>
      </c>
      <c r="C48" s="5">
        <v>94684.582573316715</v>
      </c>
      <c r="D48" s="75">
        <f t="shared" si="1"/>
        <v>5.3615592549812223E-7</v>
      </c>
    </row>
    <row r="49" spans="1:10" x14ac:dyDescent="0.25">
      <c r="A49" s="10">
        <v>2004</v>
      </c>
      <c r="B49" s="93">
        <f>'Import 03'!B15</f>
        <v>728.75400000000002</v>
      </c>
      <c r="C49" s="5">
        <v>117074.86551527939</v>
      </c>
      <c r="D49" s="75">
        <f t="shared" si="1"/>
        <v>6.2246836397594721E-7</v>
      </c>
    </row>
    <row r="50" spans="1:10" x14ac:dyDescent="0.25">
      <c r="A50" s="10">
        <v>2005</v>
      </c>
      <c r="B50" s="93">
        <f>'Import 03'!B16</f>
        <v>1047.9079999999999</v>
      </c>
      <c r="C50" s="5">
        <v>146566.26631057015</v>
      </c>
      <c r="D50" s="75">
        <f t="shared" si="1"/>
        <v>7.1497215995085097E-7</v>
      </c>
    </row>
    <row r="51" spans="1:10" x14ac:dyDescent="0.25">
      <c r="A51" s="10">
        <v>2006</v>
      </c>
      <c r="B51" s="93">
        <f>'Import 03'!B17</f>
        <v>1532.8219999999999</v>
      </c>
      <c r="C51" s="5">
        <v>162590.1460964143</v>
      </c>
      <c r="D51" s="75">
        <f t="shared" si="1"/>
        <v>9.4275208971831057E-7</v>
      </c>
    </row>
    <row r="52" spans="1:10" x14ac:dyDescent="0.25">
      <c r="A52" s="10">
        <v>2007</v>
      </c>
      <c r="B52" s="93">
        <f>'Import 03'!B18</f>
        <v>1467.0630000000001</v>
      </c>
      <c r="C52" s="5">
        <v>207416.49464237894</v>
      </c>
      <c r="D52" s="75">
        <f t="shared" si="1"/>
        <v>7.0730295704276767E-7</v>
      </c>
    </row>
    <row r="53" spans="1:10" x14ac:dyDescent="0.25">
      <c r="A53" s="10">
        <v>2008</v>
      </c>
      <c r="B53" s="93">
        <f>'Import 03'!B19</f>
        <v>2303.5450000000001</v>
      </c>
      <c r="C53" s="5">
        <v>243982.43787084011</v>
      </c>
      <c r="D53" s="75">
        <f t="shared" si="1"/>
        <v>9.4414377530707969E-7</v>
      </c>
    </row>
    <row r="54" spans="1:10" x14ac:dyDescent="0.25">
      <c r="A54" s="10">
        <v>2009</v>
      </c>
      <c r="B54" s="93">
        <f>'Import 03'!B20</f>
        <v>1612.6079999999999</v>
      </c>
      <c r="C54" s="5">
        <v>233821.6705442575</v>
      </c>
      <c r="D54" s="75">
        <f t="shared" si="1"/>
        <v>6.8967431301230372E-7</v>
      </c>
    </row>
    <row r="55" spans="1:10" x14ac:dyDescent="0.25">
      <c r="A55" s="10">
        <v>2010</v>
      </c>
      <c r="B55" s="93">
        <f>'Import 03'!B21</f>
        <v>2935.0540000000001</v>
      </c>
      <c r="C55" s="5">
        <v>287018.18463752925</v>
      </c>
      <c r="D55" s="75">
        <f t="shared" si="1"/>
        <v>1.0226021057539032E-6</v>
      </c>
    </row>
    <row r="56" spans="1:10" x14ac:dyDescent="0.25">
      <c r="A56" s="10">
        <v>2011</v>
      </c>
      <c r="B56" s="93">
        <f>'Import 03'!B22</f>
        <v>2265.7539999999999</v>
      </c>
      <c r="C56" s="5">
        <v>335415.15670218616</v>
      </c>
      <c r="D56" s="75">
        <f t="shared" si="1"/>
        <v>6.7550733910684736E-7</v>
      </c>
    </row>
    <row r="57" spans="1:10" x14ac:dyDescent="0.25">
      <c r="A57" s="10">
        <v>2012</v>
      </c>
      <c r="B57" s="93">
        <f>'Import 03'!B23</f>
        <v>2209.4899999999998</v>
      </c>
      <c r="C57" s="5">
        <v>369659.70037551981</v>
      </c>
      <c r="D57" s="75">
        <f t="shared" si="1"/>
        <v>5.9770918976439228E-7</v>
      </c>
    </row>
    <row r="58" spans="1:10" x14ac:dyDescent="0.25">
      <c r="A58" s="10">
        <v>2013</v>
      </c>
      <c r="B58" s="93">
        <f>'Import 03'!B24</f>
        <v>19122.162</v>
      </c>
      <c r="C58" s="5">
        <v>380191.88186037214</v>
      </c>
      <c r="D58" s="75">
        <f t="shared" si="1"/>
        <v>5.029608182697266E-6</v>
      </c>
    </row>
    <row r="59" spans="1:10" x14ac:dyDescent="0.25">
      <c r="A59" s="10">
        <v>2014</v>
      </c>
      <c r="B59" s="93">
        <f>'Import 03'!B25</f>
        <v>11780.574000000001</v>
      </c>
      <c r="C59" s="5">
        <v>378416.02053371473</v>
      </c>
      <c r="D59" s="75">
        <f t="shared" si="1"/>
        <v>3.1131277115024834E-6</v>
      </c>
    </row>
    <row r="60" spans="1:10" x14ac:dyDescent="0.25">
      <c r="A60" s="11">
        <v>2015</v>
      </c>
      <c r="B60" s="93">
        <f>'Import 03'!B26</f>
        <v>15830.123</v>
      </c>
      <c r="C60" s="6">
        <v>292080.15563330991</v>
      </c>
      <c r="D60" s="75">
        <f t="shared" si="1"/>
        <v>5.4197872380874179E-6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91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123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93">
        <f>'Import 03'!B2</f>
        <v>802.80499999999995</v>
      </c>
      <c r="C66" s="5">
        <v>6174.0429999999997</v>
      </c>
      <c r="D66" s="79">
        <f t="shared" ref="D66:D90" si="2">(B66/C66)/10000000</f>
        <v>1.3002905875453085E-8</v>
      </c>
      <c r="E66" s="1"/>
    </row>
    <row r="67" spans="1:5" x14ac:dyDescent="0.25">
      <c r="A67" s="10">
        <v>1992</v>
      </c>
      <c r="B67" s="93">
        <f>'Import 03'!B3</f>
        <v>812.29200000000003</v>
      </c>
      <c r="C67" s="5">
        <v>6539.299</v>
      </c>
      <c r="D67" s="79">
        <f t="shared" si="2"/>
        <v>1.2421698411404649E-8</v>
      </c>
      <c r="E67" s="1"/>
    </row>
    <row r="68" spans="1:5" x14ac:dyDescent="0.25">
      <c r="A68" s="10">
        <v>1993</v>
      </c>
      <c r="B68" s="93">
        <f>'Import 03'!B4</f>
        <v>925.322</v>
      </c>
      <c r="C68" s="5">
        <v>6878.7179999999998</v>
      </c>
      <c r="D68" s="79">
        <f t="shared" si="2"/>
        <v>1.3451954274037691E-8</v>
      </c>
      <c r="E68" s="1"/>
    </row>
    <row r="69" spans="1:5" x14ac:dyDescent="0.25">
      <c r="A69" s="10">
        <v>1994</v>
      </c>
      <c r="B69" s="93">
        <f>'Import 03'!B5</f>
        <v>1196.9010000000001</v>
      </c>
      <c r="C69" s="5">
        <v>7308.7550000000001</v>
      </c>
      <c r="D69" s="79">
        <f t="shared" si="2"/>
        <v>1.6376263809636527E-8</v>
      </c>
      <c r="E69" s="1"/>
    </row>
    <row r="70" spans="1:5" x14ac:dyDescent="0.25">
      <c r="A70" s="10">
        <v>1995</v>
      </c>
      <c r="B70" s="93">
        <f>'Import 03'!B6</f>
        <v>1228.4079999999999</v>
      </c>
      <c r="C70" s="5">
        <v>7664.06</v>
      </c>
      <c r="D70" s="79">
        <f t="shared" si="2"/>
        <v>1.6028162618768641E-8</v>
      </c>
      <c r="E70" s="1"/>
    </row>
    <row r="71" spans="1:5" x14ac:dyDescent="0.25">
      <c r="A71" s="10">
        <v>1996</v>
      </c>
      <c r="B71" s="93">
        <f>'Import 03'!B7</f>
        <v>1380.682</v>
      </c>
      <c r="C71" s="5">
        <v>8100.201</v>
      </c>
      <c r="D71" s="79">
        <f t="shared" si="2"/>
        <v>1.704503382076568E-8</v>
      </c>
      <c r="E71" s="1"/>
    </row>
    <row r="72" spans="1:5" x14ac:dyDescent="0.25">
      <c r="A72" s="10">
        <v>1997</v>
      </c>
      <c r="B72" s="93">
        <f>'Import 03'!B8</f>
        <v>1515.021</v>
      </c>
      <c r="C72" s="5">
        <v>8608.5149999999994</v>
      </c>
      <c r="D72" s="79">
        <f t="shared" si="2"/>
        <v>1.7599098102285934E-8</v>
      </c>
      <c r="E72" s="1"/>
    </row>
    <row r="73" spans="1:5" x14ac:dyDescent="0.25">
      <c r="A73" s="10">
        <v>1998</v>
      </c>
      <c r="B73" s="93">
        <f>'Import 03'!B9</f>
        <v>2204.0390000000002</v>
      </c>
      <c r="C73" s="5">
        <v>9089.1679999999997</v>
      </c>
      <c r="D73" s="79">
        <f t="shared" si="2"/>
        <v>2.4249073182495913E-8</v>
      </c>
      <c r="E73" s="1"/>
    </row>
    <row r="74" spans="1:5" x14ac:dyDescent="0.25">
      <c r="A74" s="10">
        <v>1999</v>
      </c>
      <c r="B74" s="93">
        <f>'Import 03'!B10</f>
        <v>1092.951</v>
      </c>
      <c r="C74" s="5">
        <v>9660.6239999999998</v>
      </c>
      <c r="D74" s="79">
        <f t="shared" si="2"/>
        <v>1.1313461739117474E-8</v>
      </c>
      <c r="E74" s="1"/>
    </row>
    <row r="75" spans="1:5" x14ac:dyDescent="0.25">
      <c r="A75" s="10">
        <v>2000</v>
      </c>
      <c r="B75" s="93">
        <f>'Import 03'!B11</f>
        <v>1017.932</v>
      </c>
      <c r="C75" s="5">
        <v>10284.779</v>
      </c>
      <c r="D75" s="79">
        <f t="shared" si="2"/>
        <v>9.8974610927468641E-9</v>
      </c>
      <c r="E75" s="1"/>
    </row>
    <row r="76" spans="1:5" x14ac:dyDescent="0.25">
      <c r="A76" s="10">
        <v>2001</v>
      </c>
      <c r="B76" s="93">
        <f>'Import 03'!B12</f>
        <v>956.29399999999998</v>
      </c>
      <c r="C76" s="5">
        <v>10621.824000000001</v>
      </c>
      <c r="D76" s="79">
        <f t="shared" si="2"/>
        <v>9.0031053047009618E-9</v>
      </c>
      <c r="E76" s="1"/>
    </row>
    <row r="77" spans="1:5" x14ac:dyDescent="0.25">
      <c r="A77" s="10">
        <v>2002</v>
      </c>
      <c r="B77" s="93">
        <f>'Import 03'!B13</f>
        <v>820.83399999999995</v>
      </c>
      <c r="C77" s="5">
        <v>10977.513999999999</v>
      </c>
      <c r="D77" s="79">
        <f t="shared" si="2"/>
        <v>7.4774124633318615E-9</v>
      </c>
      <c r="E77" s="1"/>
    </row>
    <row r="78" spans="1:5" x14ac:dyDescent="0.25">
      <c r="A78" s="10">
        <v>2003</v>
      </c>
      <c r="B78" s="93">
        <f>'Import 03'!B14</f>
        <v>507.65699999999998</v>
      </c>
      <c r="C78" s="5">
        <v>11510.67</v>
      </c>
      <c r="D78" s="79">
        <f t="shared" si="2"/>
        <v>4.4103166887765871E-9</v>
      </c>
      <c r="E78" s="1"/>
    </row>
    <row r="79" spans="1:5" x14ac:dyDescent="0.25">
      <c r="A79" s="10">
        <v>2004</v>
      </c>
      <c r="B79" s="93">
        <f>'Import 03'!B15</f>
        <v>728.75400000000002</v>
      </c>
      <c r="C79" s="5">
        <v>12274.928</v>
      </c>
      <c r="D79" s="79">
        <f t="shared" si="2"/>
        <v>5.9369309538923571E-9</v>
      </c>
      <c r="E79" s="1"/>
    </row>
    <row r="80" spans="1:5" x14ac:dyDescent="0.25">
      <c r="A80" s="10">
        <v>2005</v>
      </c>
      <c r="B80" s="93">
        <f>'Import 03'!B16</f>
        <v>1047.9079999999999</v>
      </c>
      <c r="C80" s="5">
        <v>13093.726000000001</v>
      </c>
      <c r="D80" s="79">
        <f t="shared" si="2"/>
        <v>8.0031306596762447E-9</v>
      </c>
      <c r="E80" s="1"/>
    </row>
    <row r="81" spans="1:10" x14ac:dyDescent="0.25">
      <c r="A81" s="10">
        <v>2006</v>
      </c>
      <c r="B81" s="93">
        <f>'Import 03'!B17</f>
        <v>1532.8219999999999</v>
      </c>
      <c r="C81" s="5">
        <v>13855.888000000001</v>
      </c>
      <c r="D81" s="79">
        <f t="shared" si="2"/>
        <v>1.1062603854765568E-8</v>
      </c>
      <c r="E81" s="1"/>
    </row>
    <row r="82" spans="1:10" x14ac:dyDescent="0.25">
      <c r="A82" s="10">
        <v>2007</v>
      </c>
      <c r="B82" s="93">
        <f>'Import 03'!B18</f>
        <v>1467.0630000000001</v>
      </c>
      <c r="C82" s="5">
        <v>14477.635</v>
      </c>
      <c r="D82" s="79">
        <f t="shared" si="2"/>
        <v>1.0133305612415288E-8</v>
      </c>
      <c r="E82" s="1"/>
    </row>
    <row r="83" spans="1:10" x14ac:dyDescent="0.25">
      <c r="A83" s="10">
        <v>2008</v>
      </c>
      <c r="B83" s="93">
        <f>'Import 03'!B19</f>
        <v>2303.5450000000001</v>
      </c>
      <c r="C83" s="5">
        <v>14718.582</v>
      </c>
      <c r="D83" s="79">
        <f t="shared" si="2"/>
        <v>1.5650590525636232E-8</v>
      </c>
      <c r="E83" s="1"/>
    </row>
    <row r="84" spans="1:10" x14ac:dyDescent="0.25">
      <c r="A84" s="10">
        <v>2009</v>
      </c>
      <c r="B84" s="93">
        <f>'Import 03'!B20</f>
        <v>1612.6079999999999</v>
      </c>
      <c r="C84" s="5">
        <v>14418.739</v>
      </c>
      <c r="D84" s="79">
        <f t="shared" si="2"/>
        <v>1.1184112563518904E-8</v>
      </c>
      <c r="E84" s="1"/>
    </row>
    <row r="85" spans="1:10" x14ac:dyDescent="0.25">
      <c r="A85" s="10">
        <v>2010</v>
      </c>
      <c r="B85" s="93">
        <f>'Import 03'!B21</f>
        <v>2935.0540000000001</v>
      </c>
      <c r="C85" s="5">
        <v>14964.371999999999</v>
      </c>
      <c r="D85" s="79">
        <f t="shared" si="2"/>
        <v>1.9613612920074426E-8</v>
      </c>
      <c r="E85" s="1"/>
    </row>
    <row r="86" spans="1:10" x14ac:dyDescent="0.25">
      <c r="A86" s="10">
        <v>2011</v>
      </c>
      <c r="B86" s="93">
        <f>'Import 03'!B22</f>
        <v>2265.7539999999999</v>
      </c>
      <c r="C86" s="5">
        <v>15517.925999999999</v>
      </c>
      <c r="D86" s="79">
        <f t="shared" si="2"/>
        <v>1.4600881586882164E-8</v>
      </c>
      <c r="E86" s="1"/>
    </row>
    <row r="87" spans="1:10" x14ac:dyDescent="0.25">
      <c r="A87" s="10">
        <v>2012</v>
      </c>
      <c r="B87" s="93">
        <f>'Import 03'!B23</f>
        <v>2209.4899999999998</v>
      </c>
      <c r="C87" s="5">
        <v>16155.254999999999</v>
      </c>
      <c r="D87" s="79">
        <f t="shared" si="2"/>
        <v>1.3676602442982175E-8</v>
      </c>
      <c r="E87" s="1"/>
    </row>
    <row r="88" spans="1:10" x14ac:dyDescent="0.25">
      <c r="A88" s="10">
        <v>2013</v>
      </c>
      <c r="B88" s="93">
        <f>'Import 03'!B24</f>
        <v>19122.162</v>
      </c>
      <c r="C88" s="5">
        <v>16663.16</v>
      </c>
      <c r="D88" s="79">
        <f t="shared" si="2"/>
        <v>1.1475711689739521E-7</v>
      </c>
      <c r="E88" s="1"/>
    </row>
    <row r="89" spans="1:10" x14ac:dyDescent="0.25">
      <c r="A89" s="10">
        <v>2014</v>
      </c>
      <c r="B89" s="93">
        <f>'Import 03'!B25</f>
        <v>11780.574000000001</v>
      </c>
      <c r="C89" s="5">
        <v>17348.071499999998</v>
      </c>
      <c r="D89" s="79">
        <f t="shared" si="2"/>
        <v>6.7907110020845841E-8</v>
      </c>
      <c r="E89" s="1"/>
    </row>
    <row r="90" spans="1:10" x14ac:dyDescent="0.25">
      <c r="A90" s="11">
        <v>2015</v>
      </c>
      <c r="B90" s="93">
        <f>'Import 03'!B26</f>
        <v>15830.123</v>
      </c>
      <c r="C90" s="5">
        <v>17946.995999999999</v>
      </c>
      <c r="D90" s="79">
        <f t="shared" si="2"/>
        <v>8.8204861693845596E-8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60" x14ac:dyDescent="0.25">
      <c r="A95" s="12" t="s">
        <v>3</v>
      </c>
      <c r="B95" s="13" t="s">
        <v>156</v>
      </c>
      <c r="C95" s="13" t="s">
        <v>7</v>
      </c>
      <c r="D95" s="14" t="s">
        <v>43</v>
      </c>
    </row>
    <row r="96" spans="1:10" x14ac:dyDescent="0.25">
      <c r="A96" s="10">
        <v>1991</v>
      </c>
      <c r="B96" s="2">
        <f t="shared" ref="B96:B120" si="3">B7</f>
        <v>63.441144000000001</v>
      </c>
      <c r="C96" s="5">
        <v>6174.0429999999997</v>
      </c>
      <c r="D96" s="64">
        <f t="shared" ref="D96:D120" si="4">(B96/C96)/100000000</f>
        <v>1.0275461962283062E-10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>
        <f t="shared" si="3"/>
        <v>48.238895999999997</v>
      </c>
      <c r="C97" s="5">
        <v>6539.299</v>
      </c>
      <c r="D97" s="64">
        <f t="shared" si="4"/>
        <v>7.3767686719937412E-11</v>
      </c>
    </row>
    <row r="98" spans="1:4" x14ac:dyDescent="0.25">
      <c r="A98" s="10">
        <v>1993</v>
      </c>
      <c r="B98" s="2">
        <f t="shared" si="3"/>
        <v>63.864524000000003</v>
      </c>
      <c r="C98" s="5">
        <v>6878.7179999999998</v>
      </c>
      <c r="D98" s="64">
        <f t="shared" si="4"/>
        <v>9.2843643248640232E-11</v>
      </c>
    </row>
    <row r="99" spans="1:4" x14ac:dyDescent="0.25">
      <c r="A99" s="10">
        <v>1994</v>
      </c>
      <c r="B99" s="2">
        <f t="shared" si="3"/>
        <v>84.264263999999997</v>
      </c>
      <c r="C99" s="5">
        <v>7308.7550000000001</v>
      </c>
      <c r="D99" s="64">
        <f t="shared" si="4"/>
        <v>1.1529222692510556E-10</v>
      </c>
    </row>
    <row r="100" spans="1:4" x14ac:dyDescent="0.25">
      <c r="A100" s="10">
        <v>1995</v>
      </c>
      <c r="B100" s="2">
        <f t="shared" si="3"/>
        <v>86.595408000000006</v>
      </c>
      <c r="C100" s="5">
        <v>7664.06</v>
      </c>
      <c r="D100" s="64">
        <f t="shared" si="4"/>
        <v>1.1298894841637461E-10</v>
      </c>
    </row>
    <row r="101" spans="1:4" x14ac:dyDescent="0.25">
      <c r="A101" s="10">
        <v>1996</v>
      </c>
      <c r="B101" s="2">
        <f t="shared" si="3"/>
        <v>73.860624000000001</v>
      </c>
      <c r="C101" s="5">
        <v>8100.201</v>
      </c>
      <c r="D101" s="64">
        <f t="shared" si="4"/>
        <v>9.1183692849103381E-11</v>
      </c>
    </row>
    <row r="102" spans="1:4" x14ac:dyDescent="0.25">
      <c r="A102" s="10">
        <v>1997</v>
      </c>
      <c r="B102" s="2">
        <f t="shared" si="3"/>
        <v>66.271575999999996</v>
      </c>
      <c r="C102" s="5">
        <v>8608.5149999999994</v>
      </c>
      <c r="D102" s="64">
        <f t="shared" si="4"/>
        <v>7.6983749229687119E-11</v>
      </c>
    </row>
    <row r="103" spans="1:4" x14ac:dyDescent="0.25">
      <c r="A103" s="10">
        <v>1998</v>
      </c>
      <c r="B103" s="2">
        <f t="shared" si="3"/>
        <v>40.257060000000003</v>
      </c>
      <c r="C103" s="5">
        <v>9089.1679999999997</v>
      </c>
      <c r="D103" s="64">
        <f t="shared" si="4"/>
        <v>4.4291248659943356E-11</v>
      </c>
    </row>
    <row r="104" spans="1:4" x14ac:dyDescent="0.25">
      <c r="A104" s="10">
        <v>1999</v>
      </c>
      <c r="B104" s="2">
        <f t="shared" si="3"/>
        <v>50.189104</v>
      </c>
      <c r="C104" s="5">
        <v>9660.6239999999998</v>
      </c>
      <c r="D104" s="64">
        <f t="shared" si="4"/>
        <v>5.1952238281916367E-11</v>
      </c>
    </row>
    <row r="105" spans="1:4" x14ac:dyDescent="0.25">
      <c r="A105" s="10">
        <v>2000</v>
      </c>
      <c r="B105" s="2">
        <f t="shared" si="3"/>
        <v>46.924646000000003</v>
      </c>
      <c r="C105" s="5">
        <v>10284.779</v>
      </c>
      <c r="D105" s="64">
        <f t="shared" si="4"/>
        <v>4.5625332347928911E-11</v>
      </c>
    </row>
    <row r="106" spans="1:4" x14ac:dyDescent="0.25">
      <c r="A106" s="10">
        <v>2001</v>
      </c>
      <c r="B106" s="2">
        <f t="shared" si="3"/>
        <v>45.705840000000002</v>
      </c>
      <c r="C106" s="5">
        <v>10621.824000000001</v>
      </c>
      <c r="D106" s="64">
        <f t="shared" si="4"/>
        <v>4.3030123639781648E-11</v>
      </c>
    </row>
    <row r="107" spans="1:4" x14ac:dyDescent="0.25">
      <c r="A107" s="10">
        <v>2002</v>
      </c>
      <c r="B107" s="2">
        <f t="shared" si="3"/>
        <v>40.696807</v>
      </c>
      <c r="C107" s="5">
        <v>10977.513999999999</v>
      </c>
      <c r="D107" s="64">
        <f t="shared" si="4"/>
        <v>3.7072880981978252E-11</v>
      </c>
    </row>
    <row r="108" spans="1:4" x14ac:dyDescent="0.25">
      <c r="A108" s="10">
        <v>2003</v>
      </c>
      <c r="B108" s="2">
        <f t="shared" si="3"/>
        <v>32.985366999999997</v>
      </c>
      <c r="C108" s="5">
        <v>11510.67</v>
      </c>
      <c r="D108" s="64">
        <f t="shared" si="4"/>
        <v>2.8656339726531987E-11</v>
      </c>
    </row>
    <row r="109" spans="1:4" x14ac:dyDescent="0.25">
      <c r="A109" s="10">
        <v>2004</v>
      </c>
      <c r="B109" s="2">
        <f t="shared" si="3"/>
        <v>31.343896999999998</v>
      </c>
      <c r="C109" s="5">
        <v>12274.928</v>
      </c>
      <c r="D109" s="64">
        <f t="shared" si="4"/>
        <v>2.553489275049108E-11</v>
      </c>
    </row>
    <row r="110" spans="1:4" x14ac:dyDescent="0.25">
      <c r="A110" s="10">
        <v>2005</v>
      </c>
      <c r="B110" s="2">
        <f t="shared" si="3"/>
        <v>31.474772999999999</v>
      </c>
      <c r="C110" s="5">
        <v>13093.726000000001</v>
      </c>
      <c r="D110" s="64">
        <f t="shared" si="4"/>
        <v>2.4038056852571985E-11</v>
      </c>
    </row>
    <row r="111" spans="1:4" x14ac:dyDescent="0.25">
      <c r="A111" s="10">
        <v>2006</v>
      </c>
      <c r="B111" s="2">
        <f t="shared" si="3"/>
        <v>27.746327999999998</v>
      </c>
      <c r="C111" s="5">
        <v>13855.888000000001</v>
      </c>
      <c r="D111" s="64">
        <f t="shared" si="4"/>
        <v>2.0024936691174176E-11</v>
      </c>
    </row>
    <row r="112" spans="1:4" x14ac:dyDescent="0.25">
      <c r="A112" s="10">
        <v>2007</v>
      </c>
      <c r="B112" s="2">
        <f t="shared" si="3"/>
        <v>18.709197</v>
      </c>
      <c r="C112" s="5">
        <v>14477.635</v>
      </c>
      <c r="D112" s="64">
        <f t="shared" si="4"/>
        <v>1.2922826829105721E-11</v>
      </c>
    </row>
    <row r="113" spans="1:10" x14ac:dyDescent="0.25">
      <c r="A113" s="10">
        <v>2008</v>
      </c>
      <c r="B113" s="2">
        <f t="shared" si="3"/>
        <v>26.364070000000002</v>
      </c>
      <c r="C113" s="5">
        <v>14718.582</v>
      </c>
      <c r="D113" s="64">
        <f t="shared" si="4"/>
        <v>1.791209914107215E-11</v>
      </c>
    </row>
    <row r="114" spans="1:10" x14ac:dyDescent="0.25">
      <c r="A114" s="10">
        <v>2009</v>
      </c>
      <c r="B114" s="2">
        <f t="shared" si="3"/>
        <v>31.324175</v>
      </c>
      <c r="C114" s="5">
        <v>14418.739</v>
      </c>
      <c r="D114" s="64">
        <f t="shared" si="4"/>
        <v>2.1724628623903933E-11</v>
      </c>
    </row>
    <row r="115" spans="1:10" x14ac:dyDescent="0.25">
      <c r="A115" s="10">
        <v>2010</v>
      </c>
      <c r="B115" s="2">
        <f t="shared" si="3"/>
        <v>49.722799000000002</v>
      </c>
      <c r="C115" s="5">
        <v>14964.371999999999</v>
      </c>
      <c r="D115" s="64">
        <f t="shared" si="4"/>
        <v>3.3227454516634581E-11</v>
      </c>
    </row>
    <row r="116" spans="1:10" x14ac:dyDescent="0.25">
      <c r="A116" s="10">
        <v>2011</v>
      </c>
      <c r="B116" s="2">
        <f t="shared" si="3"/>
        <v>52.138390999999999</v>
      </c>
      <c r="C116" s="5">
        <v>15517.925999999999</v>
      </c>
      <c r="D116" s="64">
        <f t="shared" si="4"/>
        <v>3.3598814042546667E-11</v>
      </c>
    </row>
    <row r="117" spans="1:10" x14ac:dyDescent="0.25">
      <c r="A117" s="10">
        <v>2012</v>
      </c>
      <c r="B117" s="2">
        <f t="shared" si="3"/>
        <v>70.997045</v>
      </c>
      <c r="C117" s="5">
        <v>16155.254999999999</v>
      </c>
      <c r="D117" s="64">
        <f t="shared" si="4"/>
        <v>4.3946718884969628E-11</v>
      </c>
    </row>
    <row r="118" spans="1:10" x14ac:dyDescent="0.25">
      <c r="A118" s="10">
        <v>2013</v>
      </c>
      <c r="B118" s="2">
        <f t="shared" si="3"/>
        <v>62.781016999999999</v>
      </c>
      <c r="C118" s="5">
        <v>16663.16</v>
      </c>
      <c r="D118" s="64">
        <f t="shared" si="4"/>
        <v>3.7676537343457065E-11</v>
      </c>
    </row>
    <row r="119" spans="1:10" x14ac:dyDescent="0.25">
      <c r="A119" s="10">
        <v>2014</v>
      </c>
      <c r="B119" s="2">
        <f t="shared" si="3"/>
        <v>79.216997000000006</v>
      </c>
      <c r="C119" s="5">
        <v>17348.071499999998</v>
      </c>
      <c r="D119" s="64">
        <f t="shared" si="4"/>
        <v>4.5663287126756431E-11</v>
      </c>
    </row>
    <row r="120" spans="1:10" x14ac:dyDescent="0.25">
      <c r="A120" s="11">
        <v>2015</v>
      </c>
      <c r="B120" s="2">
        <f t="shared" si="3"/>
        <v>68.660020000000003</v>
      </c>
      <c r="C120" s="5">
        <v>17946.995999999999</v>
      </c>
      <c r="D120" s="64">
        <f t="shared" si="4"/>
        <v>3.8257109992112333E-11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147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3">
        <f t="shared" ref="B125:B149" si="5">((B7*1000)+B36)/1000</f>
        <v>64.243949000000001</v>
      </c>
      <c r="C125" s="5">
        <v>41239.551378248201</v>
      </c>
      <c r="D125" s="19">
        <f t="shared" ref="D125:D149" si="6">(B125/C125)/1000</f>
        <v>1.5578236632779053E-6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3">
        <f t="shared" si="5"/>
        <v>49.051187999999996</v>
      </c>
      <c r="C126" s="5">
        <v>49279.585355094838</v>
      </c>
      <c r="D126" s="19">
        <f t="shared" si="6"/>
        <v>9.9536527441436307E-7</v>
      </c>
      <c r="I126" s="42"/>
    </row>
    <row r="127" spans="1:10" x14ac:dyDescent="0.25">
      <c r="A127" s="10">
        <v>1993</v>
      </c>
      <c r="B127" s="3">
        <f t="shared" si="5"/>
        <v>64.789846000000011</v>
      </c>
      <c r="C127" s="5">
        <v>55802.540100979531</v>
      </c>
      <c r="D127" s="19">
        <f t="shared" si="6"/>
        <v>1.1610554982399936E-6</v>
      </c>
    </row>
    <row r="128" spans="1:10" x14ac:dyDescent="0.25">
      <c r="A128" s="10">
        <v>1994</v>
      </c>
      <c r="B128" s="3">
        <f t="shared" si="5"/>
        <v>85.461164999999994</v>
      </c>
      <c r="C128" s="5">
        <v>81703.496603993364</v>
      </c>
      <c r="D128" s="19">
        <f t="shared" si="6"/>
        <v>1.0459915248697321E-6</v>
      </c>
    </row>
    <row r="129" spans="1:4" x14ac:dyDescent="0.25">
      <c r="A129" s="10">
        <v>1995</v>
      </c>
      <c r="B129" s="3">
        <f t="shared" si="5"/>
        <v>87.823816000000008</v>
      </c>
      <c r="C129" s="5">
        <v>92507.277798198498</v>
      </c>
      <c r="D129" s="19">
        <f t="shared" si="6"/>
        <v>9.4937196391817621E-7</v>
      </c>
    </row>
    <row r="130" spans="1:4" x14ac:dyDescent="0.25">
      <c r="A130" s="10">
        <v>1996</v>
      </c>
      <c r="B130" s="3">
        <f t="shared" si="5"/>
        <v>75.241305999999994</v>
      </c>
      <c r="C130" s="5">
        <v>97160.111573336981</v>
      </c>
      <c r="D130" s="19">
        <f t="shared" si="6"/>
        <v>7.7440530667986562E-7</v>
      </c>
    </row>
    <row r="131" spans="1:4" x14ac:dyDescent="0.25">
      <c r="A131" s="10">
        <v>1997</v>
      </c>
      <c r="B131" s="3">
        <f t="shared" si="5"/>
        <v>67.786597</v>
      </c>
      <c r="C131" s="5">
        <v>106659.5079635281</v>
      </c>
      <c r="D131" s="19">
        <f t="shared" si="6"/>
        <v>6.355419999047757E-7</v>
      </c>
    </row>
    <row r="132" spans="1:4" x14ac:dyDescent="0.25">
      <c r="A132" s="10">
        <v>1998</v>
      </c>
      <c r="B132" s="3">
        <f t="shared" si="5"/>
        <v>42.461099000000004</v>
      </c>
      <c r="C132" s="5">
        <v>98443.743190849113</v>
      </c>
      <c r="D132" s="19">
        <f t="shared" si="6"/>
        <v>4.3132349120128736E-7</v>
      </c>
    </row>
    <row r="133" spans="1:4" x14ac:dyDescent="0.25">
      <c r="A133" s="10">
        <v>1999</v>
      </c>
      <c r="B133" s="3">
        <f t="shared" si="5"/>
        <v>51.282055</v>
      </c>
      <c r="C133" s="5">
        <v>86186.156584381664</v>
      </c>
      <c r="D133" s="19">
        <f t="shared" si="6"/>
        <v>5.9501498886067205E-7</v>
      </c>
    </row>
    <row r="134" spans="1:4" x14ac:dyDescent="0.25">
      <c r="A134" s="10">
        <v>2000</v>
      </c>
      <c r="B134" s="3">
        <f t="shared" si="5"/>
        <v>47.942578000000005</v>
      </c>
      <c r="C134" s="5">
        <v>99886.577575544405</v>
      </c>
      <c r="D134" s="19">
        <f t="shared" si="6"/>
        <v>4.7997017380779655E-7</v>
      </c>
    </row>
    <row r="135" spans="1:4" x14ac:dyDescent="0.25">
      <c r="A135" s="10">
        <v>2001</v>
      </c>
      <c r="B135" s="3">
        <f t="shared" si="5"/>
        <v>46.662134000000009</v>
      </c>
      <c r="C135" s="5">
        <v>98203.544965267793</v>
      </c>
      <c r="D135" s="19">
        <f t="shared" si="6"/>
        <v>4.7515732773703102E-7</v>
      </c>
    </row>
    <row r="136" spans="1:4" x14ac:dyDescent="0.25">
      <c r="A136" s="10">
        <v>2002</v>
      </c>
      <c r="B136" s="3">
        <f t="shared" si="5"/>
        <v>41.517641000000005</v>
      </c>
      <c r="C136" s="5">
        <v>97933.392356425305</v>
      </c>
      <c r="D136" s="19">
        <f t="shared" si="6"/>
        <v>4.2393753551289166E-7</v>
      </c>
    </row>
    <row r="137" spans="1:4" x14ac:dyDescent="0.25">
      <c r="A137" s="10">
        <v>2003</v>
      </c>
      <c r="B137" s="3">
        <f t="shared" si="5"/>
        <v>33.493023999999998</v>
      </c>
      <c r="C137" s="5">
        <v>94684.582573316715</v>
      </c>
      <c r="D137" s="19">
        <f t="shared" si="6"/>
        <v>3.5373260450364754E-7</v>
      </c>
    </row>
    <row r="138" spans="1:4" x14ac:dyDescent="0.25">
      <c r="A138" s="10">
        <v>2004</v>
      </c>
      <c r="B138" s="3">
        <f t="shared" si="5"/>
        <v>32.072651</v>
      </c>
      <c r="C138" s="5">
        <v>117074.86551527939</v>
      </c>
      <c r="D138" s="19">
        <f t="shared" si="6"/>
        <v>2.7394992818346828E-7</v>
      </c>
    </row>
    <row r="139" spans="1:4" x14ac:dyDescent="0.25">
      <c r="A139" s="10">
        <v>2005</v>
      </c>
      <c r="B139" s="3">
        <f t="shared" si="5"/>
        <v>32.522680999999999</v>
      </c>
      <c r="C139" s="5">
        <v>146566.26631057015</v>
      </c>
      <c r="D139" s="19">
        <f t="shared" si="6"/>
        <v>2.218974517034177E-7</v>
      </c>
    </row>
    <row r="140" spans="1:4" x14ac:dyDescent="0.25">
      <c r="A140" s="10">
        <v>2006</v>
      </c>
      <c r="B140" s="3">
        <f t="shared" si="5"/>
        <v>29.279149999999998</v>
      </c>
      <c r="C140" s="5">
        <v>162590.1460964143</v>
      </c>
      <c r="D140" s="19">
        <f t="shared" si="6"/>
        <v>1.800794863831278E-7</v>
      </c>
    </row>
    <row r="141" spans="1:4" x14ac:dyDescent="0.25">
      <c r="A141" s="10">
        <v>2007</v>
      </c>
      <c r="B141" s="3">
        <f t="shared" si="5"/>
        <v>20.176260000000003</v>
      </c>
      <c r="C141" s="5">
        <v>207416.49464237894</v>
      </c>
      <c r="D141" s="19">
        <f t="shared" si="6"/>
        <v>9.7274134512721759E-8</v>
      </c>
    </row>
    <row r="142" spans="1:4" x14ac:dyDescent="0.25">
      <c r="A142" s="10">
        <v>2008</v>
      </c>
      <c r="B142" s="3">
        <f t="shared" si="5"/>
        <v>28.667615000000005</v>
      </c>
      <c r="C142" s="5">
        <v>243982.43787084011</v>
      </c>
      <c r="D142" s="19">
        <f t="shared" si="6"/>
        <v>1.1749868248786056E-7</v>
      </c>
    </row>
    <row r="143" spans="1:4" x14ac:dyDescent="0.25">
      <c r="A143" s="10">
        <v>2009</v>
      </c>
      <c r="B143" s="3">
        <f t="shared" si="5"/>
        <v>32.936782999999998</v>
      </c>
      <c r="C143" s="5">
        <v>233821.6705442575</v>
      </c>
      <c r="D143" s="19">
        <f t="shared" si="6"/>
        <v>1.4086283330084137E-7</v>
      </c>
    </row>
    <row r="144" spans="1:4" x14ac:dyDescent="0.25">
      <c r="A144" s="10">
        <v>2010</v>
      </c>
      <c r="B144" s="3">
        <f t="shared" si="5"/>
        <v>52.657853000000003</v>
      </c>
      <c r="C144" s="5">
        <v>287018.18463752925</v>
      </c>
      <c r="D144" s="19">
        <f t="shared" si="6"/>
        <v>1.8346521516224061E-7</v>
      </c>
    </row>
    <row r="145" spans="1:10" x14ac:dyDescent="0.25">
      <c r="A145" s="10">
        <v>2011</v>
      </c>
      <c r="B145" s="3">
        <f t="shared" si="5"/>
        <v>54.404145</v>
      </c>
      <c r="C145" s="5">
        <v>335415.15670218616</v>
      </c>
      <c r="D145" s="19">
        <f t="shared" si="6"/>
        <v>1.6219942335016552E-7</v>
      </c>
    </row>
    <row r="146" spans="1:10" x14ac:dyDescent="0.25">
      <c r="A146" s="10">
        <v>2012</v>
      </c>
      <c r="B146" s="3">
        <f t="shared" si="5"/>
        <v>73.206535000000002</v>
      </c>
      <c r="C146" s="5">
        <v>369659.70037551981</v>
      </c>
      <c r="D146" s="19">
        <f t="shared" si="6"/>
        <v>1.9803764090495378E-7</v>
      </c>
    </row>
    <row r="147" spans="1:10" x14ac:dyDescent="0.25">
      <c r="A147" s="10">
        <v>2013</v>
      </c>
      <c r="B147" s="3">
        <f t="shared" si="5"/>
        <v>81.903179000000009</v>
      </c>
      <c r="C147" s="5">
        <v>380191.88186037214</v>
      </c>
      <c r="D147" s="19">
        <f t="shared" si="6"/>
        <v>2.1542590178208871E-7</v>
      </c>
    </row>
    <row r="148" spans="1:10" x14ac:dyDescent="0.25">
      <c r="A148" s="10">
        <v>2014</v>
      </c>
      <c r="B148" s="3">
        <f t="shared" si="5"/>
        <v>90.997570999999994</v>
      </c>
      <c r="C148" s="5">
        <v>378416.02053371473</v>
      </c>
      <c r="D148" s="19">
        <f t="shared" si="6"/>
        <v>2.4046965789571432E-7</v>
      </c>
    </row>
    <row r="149" spans="1:10" x14ac:dyDescent="0.25">
      <c r="A149" s="11">
        <v>2015</v>
      </c>
      <c r="B149" s="3">
        <f t="shared" si="5"/>
        <v>84.490143000000018</v>
      </c>
      <c r="C149" s="6">
        <v>292080.15563330991</v>
      </c>
      <c r="D149" s="19">
        <f t="shared" si="6"/>
        <v>2.8927039845210369E-7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45" x14ac:dyDescent="0.25">
      <c r="A153" s="12" t="s">
        <v>3</v>
      </c>
      <c r="B153" s="13" t="s">
        <v>148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80">
        <f>B125</f>
        <v>64.243949000000001</v>
      </c>
      <c r="C154" s="5">
        <v>6174.0429999999997</v>
      </c>
      <c r="D154" s="75">
        <f t="shared" ref="D154:D178" si="7">(B154/C154)/100000</f>
        <v>1.0405491021037592E-7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80">
        <f t="shared" ref="B155:B178" si="8">B126</f>
        <v>49.051187999999996</v>
      </c>
      <c r="C155" s="5">
        <v>6539.299</v>
      </c>
      <c r="D155" s="75">
        <f t="shared" si="7"/>
        <v>7.5009856561077869E-8</v>
      </c>
    </row>
    <row r="156" spans="1:10" x14ac:dyDescent="0.25">
      <c r="A156" s="10">
        <v>1993</v>
      </c>
      <c r="B156" s="80">
        <f t="shared" si="8"/>
        <v>64.789846000000011</v>
      </c>
      <c r="C156" s="5">
        <v>6878.7179999999998</v>
      </c>
      <c r="D156" s="75">
        <f t="shared" si="7"/>
        <v>9.4188838676044013E-8</v>
      </c>
    </row>
    <row r="157" spans="1:10" x14ac:dyDescent="0.25">
      <c r="A157" s="10">
        <v>1994</v>
      </c>
      <c r="B157" s="80">
        <f t="shared" si="8"/>
        <v>85.461164999999994</v>
      </c>
      <c r="C157" s="5">
        <v>7308.7550000000001</v>
      </c>
      <c r="D157" s="75">
        <f t="shared" si="7"/>
        <v>1.1692985330606921E-7</v>
      </c>
    </row>
    <row r="158" spans="1:10" x14ac:dyDescent="0.25">
      <c r="A158" s="10">
        <v>1995</v>
      </c>
      <c r="B158" s="80">
        <f t="shared" si="8"/>
        <v>87.823816000000008</v>
      </c>
      <c r="C158" s="5">
        <v>7664.06</v>
      </c>
      <c r="D158" s="75">
        <f t="shared" si="7"/>
        <v>1.1459176467825148E-7</v>
      </c>
    </row>
    <row r="159" spans="1:10" x14ac:dyDescent="0.25">
      <c r="A159" s="10">
        <v>1996</v>
      </c>
      <c r="B159" s="80">
        <f t="shared" si="8"/>
        <v>75.241305999999994</v>
      </c>
      <c r="C159" s="5">
        <v>8100.201</v>
      </c>
      <c r="D159" s="75">
        <f t="shared" si="7"/>
        <v>9.2888196231179935E-8</v>
      </c>
    </row>
    <row r="160" spans="1:10" x14ac:dyDescent="0.25">
      <c r="A160" s="10">
        <v>1997</v>
      </c>
      <c r="B160" s="80">
        <f t="shared" si="8"/>
        <v>67.786597</v>
      </c>
      <c r="C160" s="5">
        <v>8608.5149999999994</v>
      </c>
      <c r="D160" s="75">
        <f t="shared" si="7"/>
        <v>7.8743659039915727E-8</v>
      </c>
    </row>
    <row r="161" spans="1:4" x14ac:dyDescent="0.25">
      <c r="A161" s="10">
        <v>1998</v>
      </c>
      <c r="B161" s="80">
        <f t="shared" si="8"/>
        <v>42.461099000000004</v>
      </c>
      <c r="C161" s="5">
        <v>9089.1679999999997</v>
      </c>
      <c r="D161" s="75">
        <f t="shared" si="7"/>
        <v>4.6716155978192954E-8</v>
      </c>
    </row>
    <row r="162" spans="1:4" x14ac:dyDescent="0.25">
      <c r="A162" s="10">
        <v>1999</v>
      </c>
      <c r="B162" s="80">
        <f t="shared" si="8"/>
        <v>51.282055</v>
      </c>
      <c r="C162" s="5">
        <v>9660.6239999999998</v>
      </c>
      <c r="D162" s="75">
        <f t="shared" si="7"/>
        <v>5.3083584455828114E-8</v>
      </c>
    </row>
    <row r="163" spans="1:4" x14ac:dyDescent="0.25">
      <c r="A163" s="10">
        <v>2000</v>
      </c>
      <c r="B163" s="80">
        <f t="shared" si="8"/>
        <v>47.942578000000005</v>
      </c>
      <c r="C163" s="5">
        <v>10284.779</v>
      </c>
      <c r="D163" s="75">
        <f t="shared" si="7"/>
        <v>4.6615078457203605E-8</v>
      </c>
    </row>
    <row r="164" spans="1:4" x14ac:dyDescent="0.25">
      <c r="A164" s="10">
        <v>2001</v>
      </c>
      <c r="B164" s="80">
        <f t="shared" si="8"/>
        <v>46.662134000000009</v>
      </c>
      <c r="C164" s="5">
        <v>10621.824000000001</v>
      </c>
      <c r="D164" s="75">
        <f t="shared" si="7"/>
        <v>4.3930434170251739E-8</v>
      </c>
    </row>
    <row r="165" spans="1:4" x14ac:dyDescent="0.25">
      <c r="A165" s="10">
        <v>2002</v>
      </c>
      <c r="B165" s="80">
        <f t="shared" si="8"/>
        <v>41.517641000000005</v>
      </c>
      <c r="C165" s="5">
        <v>10977.513999999999</v>
      </c>
      <c r="D165" s="75">
        <f t="shared" si="7"/>
        <v>3.7820622228311441E-8</v>
      </c>
    </row>
    <row r="166" spans="1:4" x14ac:dyDescent="0.25">
      <c r="A166" s="10">
        <v>2003</v>
      </c>
      <c r="B166" s="80">
        <f t="shared" si="8"/>
        <v>33.493023999999998</v>
      </c>
      <c r="C166" s="5">
        <v>11510.67</v>
      </c>
      <c r="D166" s="75">
        <f t="shared" si="7"/>
        <v>2.9097371395409652E-8</v>
      </c>
    </row>
    <row r="167" spans="1:4" x14ac:dyDescent="0.25">
      <c r="A167" s="10">
        <v>2004</v>
      </c>
      <c r="B167" s="80">
        <f t="shared" si="8"/>
        <v>32.072651</v>
      </c>
      <c r="C167" s="5">
        <v>12274.928</v>
      </c>
      <c r="D167" s="75">
        <f t="shared" si="7"/>
        <v>2.6128585845880316E-8</v>
      </c>
    </row>
    <row r="168" spans="1:4" x14ac:dyDescent="0.25">
      <c r="A168" s="10">
        <v>2005</v>
      </c>
      <c r="B168" s="80">
        <f t="shared" si="8"/>
        <v>32.522680999999999</v>
      </c>
      <c r="C168" s="5">
        <v>13093.726000000001</v>
      </c>
      <c r="D168" s="75">
        <f t="shared" si="7"/>
        <v>2.483836991853961E-8</v>
      </c>
    </row>
    <row r="169" spans="1:4" x14ac:dyDescent="0.25">
      <c r="A169" s="10">
        <v>2006</v>
      </c>
      <c r="B169" s="80">
        <f t="shared" si="8"/>
        <v>29.279149999999998</v>
      </c>
      <c r="C169" s="5">
        <v>13855.888000000001</v>
      </c>
      <c r="D169" s="75">
        <f t="shared" si="7"/>
        <v>2.1131197076650734E-8</v>
      </c>
    </row>
    <row r="170" spans="1:4" x14ac:dyDescent="0.25">
      <c r="A170" s="10">
        <v>2007</v>
      </c>
      <c r="B170" s="80">
        <f t="shared" si="8"/>
        <v>20.176260000000003</v>
      </c>
      <c r="C170" s="5">
        <v>14477.635</v>
      </c>
      <c r="D170" s="75">
        <f t="shared" si="7"/>
        <v>1.3936157390347251E-8</v>
      </c>
    </row>
    <row r="171" spans="1:4" x14ac:dyDescent="0.25">
      <c r="A171" s="10">
        <v>2008</v>
      </c>
      <c r="B171" s="80">
        <f t="shared" si="8"/>
        <v>28.667615000000005</v>
      </c>
      <c r="C171" s="5">
        <v>14718.582</v>
      </c>
      <c r="D171" s="75">
        <f t="shared" si="7"/>
        <v>1.9477158193635775E-8</v>
      </c>
    </row>
    <row r="172" spans="1:4" x14ac:dyDescent="0.25">
      <c r="A172" s="10">
        <v>2009</v>
      </c>
      <c r="B172" s="80">
        <f t="shared" si="8"/>
        <v>32.936782999999998</v>
      </c>
      <c r="C172" s="5">
        <v>14418.739</v>
      </c>
      <c r="D172" s="75">
        <f t="shared" si="7"/>
        <v>2.2843039880255823E-8</v>
      </c>
    </row>
    <row r="173" spans="1:4" x14ac:dyDescent="0.25">
      <c r="A173" s="10">
        <v>2010</v>
      </c>
      <c r="B173" s="80">
        <f t="shared" si="8"/>
        <v>52.657853000000003</v>
      </c>
      <c r="C173" s="5">
        <v>14964.371999999999</v>
      </c>
      <c r="D173" s="75">
        <f t="shared" si="7"/>
        <v>3.5188815808642022E-8</v>
      </c>
    </row>
    <row r="174" spans="1:4" x14ac:dyDescent="0.25">
      <c r="A174" s="10">
        <v>2011</v>
      </c>
      <c r="B174" s="80">
        <f t="shared" si="8"/>
        <v>54.404145</v>
      </c>
      <c r="C174" s="5">
        <v>15517.925999999999</v>
      </c>
      <c r="D174" s="75">
        <f t="shared" si="7"/>
        <v>3.5058902201234883E-8</v>
      </c>
    </row>
    <row r="175" spans="1:4" x14ac:dyDescent="0.25">
      <c r="A175" s="10">
        <v>2012</v>
      </c>
      <c r="B175" s="80">
        <f t="shared" si="8"/>
        <v>73.206535000000002</v>
      </c>
      <c r="C175" s="5">
        <v>16155.254999999999</v>
      </c>
      <c r="D175" s="75">
        <f t="shared" si="7"/>
        <v>4.5314379129267845E-8</v>
      </c>
    </row>
    <row r="176" spans="1:4" x14ac:dyDescent="0.25">
      <c r="A176" s="10">
        <v>2013</v>
      </c>
      <c r="B176" s="80">
        <f t="shared" si="8"/>
        <v>81.903179000000009</v>
      </c>
      <c r="C176" s="5">
        <v>16663.16</v>
      </c>
      <c r="D176" s="75">
        <f t="shared" si="7"/>
        <v>4.915224903319659E-8</v>
      </c>
    </row>
    <row r="177" spans="1:10" x14ac:dyDescent="0.25">
      <c r="A177" s="10">
        <v>2014</v>
      </c>
      <c r="B177" s="80">
        <f t="shared" si="8"/>
        <v>90.997570999999994</v>
      </c>
      <c r="C177" s="5">
        <v>17348.071499999998</v>
      </c>
      <c r="D177" s="75">
        <f t="shared" si="7"/>
        <v>5.2453998128841004E-8</v>
      </c>
    </row>
    <row r="178" spans="1:10" x14ac:dyDescent="0.25">
      <c r="A178" s="11">
        <v>2015</v>
      </c>
      <c r="B178" s="80">
        <f t="shared" si="8"/>
        <v>84.490143000000018</v>
      </c>
      <c r="C178" s="5">
        <v>17946.995999999999</v>
      </c>
      <c r="D178" s="75">
        <f t="shared" si="7"/>
        <v>4.70775961614969E-8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75" x14ac:dyDescent="0.25">
      <c r="A183" s="12" t="s">
        <v>3</v>
      </c>
      <c r="B183" s="13" t="s">
        <v>149</v>
      </c>
      <c r="C183" s="13" t="s">
        <v>150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80">
        <f>B154</f>
        <v>64.243949000000001</v>
      </c>
      <c r="C184" s="80">
        <f>Tabla11619264074[[#This Row],[Balanza Comercial Absoluta Colombia 
(US$ millones)]]/2</f>
        <v>32.1219745</v>
      </c>
      <c r="D184" s="5">
        <v>41239.551378248201</v>
      </c>
      <c r="E184" s="41">
        <f t="shared" ref="E184:E208" si="9">C184/(D184*1000)</f>
        <v>7.7891183163895264E-7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80">
        <f t="shared" ref="B185:B208" si="10">B155</f>
        <v>49.051187999999996</v>
      </c>
      <c r="C185" s="80">
        <f>Tabla11619264074[[#This Row],[Balanza Comercial Absoluta Colombia 
(US$ millones)]]/2</f>
        <v>24.525593999999998</v>
      </c>
      <c r="D185" s="5">
        <v>49279.585355094838</v>
      </c>
      <c r="E185" s="41">
        <f t="shared" si="9"/>
        <v>4.9768263720718154E-7</v>
      </c>
    </row>
    <row r="186" spans="1:10" x14ac:dyDescent="0.25">
      <c r="A186" s="10">
        <v>1993</v>
      </c>
      <c r="B186" s="80">
        <f t="shared" si="10"/>
        <v>64.789846000000011</v>
      </c>
      <c r="C186" s="80">
        <f>Tabla11619264074[[#This Row],[Balanza Comercial Absoluta Colombia 
(US$ millones)]]/2</f>
        <v>32.394923000000006</v>
      </c>
      <c r="D186" s="5">
        <v>55802.540100979531</v>
      </c>
      <c r="E186" s="41">
        <f t="shared" si="9"/>
        <v>5.8052774911999679E-7</v>
      </c>
    </row>
    <row r="187" spans="1:10" x14ac:dyDescent="0.25">
      <c r="A187" s="10">
        <v>1994</v>
      </c>
      <c r="B187" s="80">
        <f t="shared" si="10"/>
        <v>85.461164999999994</v>
      </c>
      <c r="C187" s="80">
        <f>Tabla11619264074[[#This Row],[Balanza Comercial Absoluta Colombia 
(US$ millones)]]/2</f>
        <v>42.730582499999997</v>
      </c>
      <c r="D187" s="5">
        <v>81703.496603993364</v>
      </c>
      <c r="E187" s="41">
        <f t="shared" si="9"/>
        <v>5.2299576243486596E-7</v>
      </c>
    </row>
    <row r="188" spans="1:10" x14ac:dyDescent="0.25">
      <c r="A188" s="10">
        <v>1995</v>
      </c>
      <c r="B188" s="80">
        <f t="shared" si="10"/>
        <v>87.823816000000008</v>
      </c>
      <c r="C188" s="80">
        <f>Tabla11619264074[[#This Row],[Balanza Comercial Absoluta Colombia 
(US$ millones)]]/2</f>
        <v>43.911908000000004</v>
      </c>
      <c r="D188" s="5">
        <v>92507.277798198498</v>
      </c>
      <c r="E188" s="41">
        <f t="shared" si="9"/>
        <v>4.7468598195908816E-7</v>
      </c>
    </row>
    <row r="189" spans="1:10" x14ac:dyDescent="0.25">
      <c r="A189" s="10">
        <v>1996</v>
      </c>
      <c r="B189" s="80">
        <f t="shared" si="10"/>
        <v>75.241305999999994</v>
      </c>
      <c r="C189" s="80">
        <f>Tabla11619264074[[#This Row],[Balanza Comercial Absoluta Colombia 
(US$ millones)]]/2</f>
        <v>37.620652999999997</v>
      </c>
      <c r="D189" s="5">
        <v>97160.111573336981</v>
      </c>
      <c r="E189" s="41">
        <f t="shared" si="9"/>
        <v>3.8720265333993287E-7</v>
      </c>
    </row>
    <row r="190" spans="1:10" x14ac:dyDescent="0.25">
      <c r="A190" s="10">
        <v>1997</v>
      </c>
      <c r="B190" s="80">
        <f t="shared" si="10"/>
        <v>67.786597</v>
      </c>
      <c r="C190" s="80">
        <f>Tabla11619264074[[#This Row],[Balanza Comercial Absoluta Colombia 
(US$ millones)]]/2</f>
        <v>33.8932985</v>
      </c>
      <c r="D190" s="5">
        <v>106659.5079635281</v>
      </c>
      <c r="E190" s="41">
        <f t="shared" si="9"/>
        <v>3.1777099995238785E-7</v>
      </c>
    </row>
    <row r="191" spans="1:10" x14ac:dyDescent="0.25">
      <c r="A191" s="10">
        <v>1998</v>
      </c>
      <c r="B191" s="80">
        <f t="shared" si="10"/>
        <v>42.461099000000004</v>
      </c>
      <c r="C191" s="80">
        <f>Tabla11619264074[[#This Row],[Balanza Comercial Absoluta Colombia 
(US$ millones)]]/2</f>
        <v>21.230549500000002</v>
      </c>
      <c r="D191" s="5">
        <v>98443.743190849113</v>
      </c>
      <c r="E191" s="41">
        <f t="shared" si="9"/>
        <v>2.1566174560064371E-7</v>
      </c>
    </row>
    <row r="192" spans="1:10" x14ac:dyDescent="0.25">
      <c r="A192" s="10">
        <v>1999</v>
      </c>
      <c r="B192" s="80">
        <f t="shared" si="10"/>
        <v>51.282055</v>
      </c>
      <c r="C192" s="80">
        <f>Tabla11619264074[[#This Row],[Balanza Comercial Absoluta Colombia 
(US$ millones)]]/2</f>
        <v>25.6410275</v>
      </c>
      <c r="D192" s="5">
        <v>86186.156584381664</v>
      </c>
      <c r="E192" s="41">
        <f t="shared" si="9"/>
        <v>2.9750749443033603E-7</v>
      </c>
    </row>
    <row r="193" spans="1:5" x14ac:dyDescent="0.25">
      <c r="A193" s="10">
        <v>2000</v>
      </c>
      <c r="B193" s="80">
        <f t="shared" si="10"/>
        <v>47.942578000000005</v>
      </c>
      <c r="C193" s="80">
        <f>Tabla11619264074[[#This Row],[Balanza Comercial Absoluta Colombia 
(US$ millones)]]/2</f>
        <v>23.971289000000002</v>
      </c>
      <c r="D193" s="5">
        <v>99886.577575544405</v>
      </c>
      <c r="E193" s="41">
        <f t="shared" si="9"/>
        <v>2.3998508690389827E-7</v>
      </c>
    </row>
    <row r="194" spans="1:5" x14ac:dyDescent="0.25">
      <c r="A194" s="10">
        <v>2001</v>
      </c>
      <c r="B194" s="80">
        <f t="shared" si="10"/>
        <v>46.662134000000009</v>
      </c>
      <c r="C194" s="80">
        <f>Tabla11619264074[[#This Row],[Balanza Comercial Absoluta Colombia 
(US$ millones)]]/2</f>
        <v>23.331067000000004</v>
      </c>
      <c r="D194" s="5">
        <v>98203.544965267793</v>
      </c>
      <c r="E194" s="41">
        <f t="shared" si="9"/>
        <v>2.3757866386851551E-7</v>
      </c>
    </row>
    <row r="195" spans="1:5" x14ac:dyDescent="0.25">
      <c r="A195" s="10">
        <v>2002</v>
      </c>
      <c r="B195" s="80">
        <f t="shared" si="10"/>
        <v>41.517641000000005</v>
      </c>
      <c r="C195" s="80">
        <f>Tabla11619264074[[#This Row],[Balanza Comercial Absoluta Colombia 
(US$ millones)]]/2</f>
        <v>20.758820500000002</v>
      </c>
      <c r="D195" s="5">
        <v>97933.392356425305</v>
      </c>
      <c r="E195" s="41">
        <f t="shared" si="9"/>
        <v>2.1196876775644583E-7</v>
      </c>
    </row>
    <row r="196" spans="1:5" x14ac:dyDescent="0.25">
      <c r="A196" s="10">
        <v>2003</v>
      </c>
      <c r="B196" s="80">
        <f t="shared" si="10"/>
        <v>33.493023999999998</v>
      </c>
      <c r="C196" s="80">
        <f>Tabla11619264074[[#This Row],[Balanza Comercial Absoluta Colombia 
(US$ millones)]]/2</f>
        <v>16.746511999999999</v>
      </c>
      <c r="D196" s="5">
        <v>94684.582573316715</v>
      </c>
      <c r="E196" s="41">
        <f t="shared" si="9"/>
        <v>1.7686630225182377E-7</v>
      </c>
    </row>
    <row r="197" spans="1:5" x14ac:dyDescent="0.25">
      <c r="A197" s="10">
        <v>2004</v>
      </c>
      <c r="B197" s="80">
        <f t="shared" si="10"/>
        <v>32.072651</v>
      </c>
      <c r="C197" s="80">
        <f>Tabla11619264074[[#This Row],[Balanza Comercial Absoluta Colombia 
(US$ millones)]]/2</f>
        <v>16.0363255</v>
      </c>
      <c r="D197" s="5">
        <v>117074.86551527939</v>
      </c>
      <c r="E197" s="41">
        <f t="shared" si="9"/>
        <v>1.3697496409173414E-7</v>
      </c>
    </row>
    <row r="198" spans="1:5" x14ac:dyDescent="0.25">
      <c r="A198" s="10">
        <v>2005</v>
      </c>
      <c r="B198" s="80">
        <f t="shared" si="10"/>
        <v>32.522680999999999</v>
      </c>
      <c r="C198" s="80">
        <f>Tabla11619264074[[#This Row],[Balanza Comercial Absoluta Colombia 
(US$ millones)]]/2</f>
        <v>16.261340499999999</v>
      </c>
      <c r="D198" s="5">
        <v>146566.26631057015</v>
      </c>
      <c r="E198" s="41">
        <f t="shared" si="9"/>
        <v>1.1094872585170885E-7</v>
      </c>
    </row>
    <row r="199" spans="1:5" x14ac:dyDescent="0.25">
      <c r="A199" s="10">
        <v>2006</v>
      </c>
      <c r="B199" s="80">
        <f t="shared" si="10"/>
        <v>29.279149999999998</v>
      </c>
      <c r="C199" s="80">
        <f>Tabla11619264074[[#This Row],[Balanza Comercial Absoluta Colombia 
(US$ millones)]]/2</f>
        <v>14.639574999999999</v>
      </c>
      <c r="D199" s="5">
        <v>162590.1460964143</v>
      </c>
      <c r="E199" s="41">
        <f t="shared" si="9"/>
        <v>9.0039743191563898E-8</v>
      </c>
    </row>
    <row r="200" spans="1:5" x14ac:dyDescent="0.25">
      <c r="A200" s="10">
        <v>2007</v>
      </c>
      <c r="B200" s="80">
        <f t="shared" si="10"/>
        <v>20.176260000000003</v>
      </c>
      <c r="C200" s="80">
        <f>Tabla11619264074[[#This Row],[Balanza Comercial Absoluta Colombia 
(US$ millones)]]/2</f>
        <v>10.088130000000001</v>
      </c>
      <c r="D200" s="5">
        <v>207416.49464237894</v>
      </c>
      <c r="E200" s="41">
        <f t="shared" si="9"/>
        <v>4.8637067256360886E-8</v>
      </c>
    </row>
    <row r="201" spans="1:5" x14ac:dyDescent="0.25">
      <c r="A201" s="10">
        <v>2008</v>
      </c>
      <c r="B201" s="80">
        <f t="shared" si="10"/>
        <v>28.667615000000005</v>
      </c>
      <c r="C201" s="80">
        <f>Tabla11619264074[[#This Row],[Balanza Comercial Absoluta Colombia 
(US$ millones)]]/2</f>
        <v>14.333807500000002</v>
      </c>
      <c r="D201" s="5">
        <v>243982.43787084011</v>
      </c>
      <c r="E201" s="41">
        <f t="shared" si="9"/>
        <v>5.8749341243930274E-8</v>
      </c>
    </row>
    <row r="202" spans="1:5" x14ac:dyDescent="0.25">
      <c r="A202" s="10">
        <v>2009</v>
      </c>
      <c r="B202" s="80">
        <f t="shared" si="10"/>
        <v>32.936782999999998</v>
      </c>
      <c r="C202" s="80">
        <f>Tabla11619264074[[#This Row],[Balanza Comercial Absoluta Colombia 
(US$ millones)]]/2</f>
        <v>16.468391499999999</v>
      </c>
      <c r="D202" s="5">
        <v>233821.6705442575</v>
      </c>
      <c r="E202" s="41">
        <f t="shared" si="9"/>
        <v>7.0431416650420696E-8</v>
      </c>
    </row>
    <row r="203" spans="1:5" x14ac:dyDescent="0.25">
      <c r="A203" s="10">
        <v>2010</v>
      </c>
      <c r="B203" s="80">
        <f t="shared" si="10"/>
        <v>52.657853000000003</v>
      </c>
      <c r="C203" s="80">
        <f>Tabla11619264074[[#This Row],[Balanza Comercial Absoluta Colombia 
(US$ millones)]]/2</f>
        <v>26.328926500000001</v>
      </c>
      <c r="D203" s="5">
        <v>287018.18463752925</v>
      </c>
      <c r="E203" s="41">
        <f t="shared" si="9"/>
        <v>9.1732607581120303E-8</v>
      </c>
    </row>
    <row r="204" spans="1:5" x14ac:dyDescent="0.25">
      <c r="A204" s="10">
        <v>2011</v>
      </c>
      <c r="B204" s="80">
        <f t="shared" si="10"/>
        <v>54.404145</v>
      </c>
      <c r="C204" s="80">
        <f>Tabla11619264074[[#This Row],[Balanza Comercial Absoluta Colombia 
(US$ millones)]]/2</f>
        <v>27.2020725</v>
      </c>
      <c r="D204" s="5">
        <v>335415.15670218616</v>
      </c>
      <c r="E204" s="41">
        <f t="shared" si="9"/>
        <v>8.109971167508276E-8</v>
      </c>
    </row>
    <row r="205" spans="1:5" x14ac:dyDescent="0.25">
      <c r="A205" s="10">
        <v>2012</v>
      </c>
      <c r="B205" s="80">
        <f t="shared" si="10"/>
        <v>73.206535000000002</v>
      </c>
      <c r="C205" s="80">
        <f>Tabla11619264074[[#This Row],[Balanza Comercial Absoluta Colombia 
(US$ millones)]]/2</f>
        <v>36.603267500000001</v>
      </c>
      <c r="D205" s="5">
        <v>369659.70037551981</v>
      </c>
      <c r="E205" s="41">
        <f t="shared" si="9"/>
        <v>9.9018820452476891E-8</v>
      </c>
    </row>
    <row r="206" spans="1:5" x14ac:dyDescent="0.25">
      <c r="A206" s="10">
        <v>2013</v>
      </c>
      <c r="B206" s="80">
        <f t="shared" si="10"/>
        <v>81.903179000000009</v>
      </c>
      <c r="C206" s="80">
        <f>Tabla11619264074[[#This Row],[Balanza Comercial Absoluta Colombia 
(US$ millones)]]/2</f>
        <v>40.951589500000004</v>
      </c>
      <c r="D206" s="5">
        <v>380191.88186037214</v>
      </c>
      <c r="E206" s="41">
        <f t="shared" si="9"/>
        <v>1.0771295089104437E-7</v>
      </c>
    </row>
    <row r="207" spans="1:5" x14ac:dyDescent="0.25">
      <c r="A207" s="10">
        <v>2014</v>
      </c>
      <c r="B207" s="80">
        <f t="shared" si="10"/>
        <v>90.997570999999994</v>
      </c>
      <c r="C207" s="80">
        <f>Tabla11619264074[[#This Row],[Balanza Comercial Absoluta Colombia 
(US$ millones)]]/2</f>
        <v>45.498785499999997</v>
      </c>
      <c r="D207" s="5">
        <v>378416.02053371473</v>
      </c>
      <c r="E207" s="41">
        <f t="shared" si="9"/>
        <v>1.2023482894785719E-7</v>
      </c>
    </row>
    <row r="208" spans="1:5" x14ac:dyDescent="0.25">
      <c r="A208" s="11">
        <v>2015</v>
      </c>
      <c r="B208" s="80">
        <f t="shared" si="10"/>
        <v>84.490143000000018</v>
      </c>
      <c r="C208" s="85">
        <f>Tabla11619264074[[#This Row],[Balanza Comercial Absoluta Colombia 
(US$ millones)]]/2</f>
        <v>42.245071500000009</v>
      </c>
      <c r="D208" s="6">
        <v>292080.15563330991</v>
      </c>
      <c r="E208" s="41">
        <f t="shared" si="9"/>
        <v>1.4463519922605184E-7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60" x14ac:dyDescent="0.25">
      <c r="A212" s="28" t="s">
        <v>3</v>
      </c>
      <c r="B212" s="29" t="s">
        <v>148</v>
      </c>
      <c r="C212" s="29" t="s">
        <v>151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80">
        <f>B125</f>
        <v>64.243949000000001</v>
      </c>
      <c r="C213" s="80">
        <f>Tabla1161721274175[[#This Row],[Balanza Comercial Absoluta USA
(US$ millones)]]/2</f>
        <v>32.1219745</v>
      </c>
      <c r="D213" s="5">
        <v>6174.0429999999997</v>
      </c>
      <c r="E213" s="95">
        <f t="shared" ref="E213:E237" si="11">(C213/D213)/10000</f>
        <v>5.2027455105187963E-7</v>
      </c>
    </row>
    <row r="214" spans="1:10" x14ac:dyDescent="0.25">
      <c r="A214" s="31">
        <v>1992</v>
      </c>
      <c r="B214" s="80">
        <f t="shared" ref="B214:B237" si="12">B126</f>
        <v>49.051187999999996</v>
      </c>
      <c r="C214" s="80">
        <f>Tabla1161721274175[[#This Row],[Balanza Comercial Absoluta USA
(US$ millones)]]/2</f>
        <v>24.525593999999998</v>
      </c>
      <c r="D214" s="5">
        <v>6539.299</v>
      </c>
      <c r="E214" s="95">
        <f t="shared" si="11"/>
        <v>3.7504928280538937E-7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80">
        <f t="shared" si="12"/>
        <v>64.789846000000011</v>
      </c>
      <c r="C215" s="80">
        <f>Tabla1161721274175[[#This Row],[Balanza Comercial Absoluta USA
(US$ millones)]]/2</f>
        <v>32.394923000000006</v>
      </c>
      <c r="D215" s="5">
        <v>6878.7179999999998</v>
      </c>
      <c r="E215" s="95">
        <f t="shared" si="11"/>
        <v>4.7094419338022004E-7</v>
      </c>
    </row>
    <row r="216" spans="1:10" x14ac:dyDescent="0.25">
      <c r="A216" s="31">
        <v>1994</v>
      </c>
      <c r="B216" s="80">
        <f t="shared" si="12"/>
        <v>85.461164999999994</v>
      </c>
      <c r="C216" s="80">
        <f>Tabla1161721274175[[#This Row],[Balanza Comercial Absoluta USA
(US$ millones)]]/2</f>
        <v>42.730582499999997</v>
      </c>
      <c r="D216" s="5">
        <v>7308.7550000000001</v>
      </c>
      <c r="E216" s="95">
        <f t="shared" si="11"/>
        <v>5.8464926653034604E-7</v>
      </c>
    </row>
    <row r="217" spans="1:10" x14ac:dyDescent="0.25">
      <c r="A217" s="31">
        <v>1995</v>
      </c>
      <c r="B217" s="80">
        <f t="shared" si="12"/>
        <v>87.823816000000008</v>
      </c>
      <c r="C217" s="80">
        <f>Tabla1161721274175[[#This Row],[Balanza Comercial Absoluta USA
(US$ millones)]]/2</f>
        <v>43.911908000000004</v>
      </c>
      <c r="D217" s="5">
        <v>7664.06</v>
      </c>
      <c r="E217" s="95">
        <f t="shared" si="11"/>
        <v>5.7295882339125742E-7</v>
      </c>
    </row>
    <row r="218" spans="1:10" x14ac:dyDescent="0.25">
      <c r="A218" s="31">
        <v>1996</v>
      </c>
      <c r="B218" s="80">
        <f t="shared" si="12"/>
        <v>75.241305999999994</v>
      </c>
      <c r="C218" s="80">
        <f>Tabla1161721274175[[#This Row],[Balanza Comercial Absoluta USA
(US$ millones)]]/2</f>
        <v>37.620652999999997</v>
      </c>
      <c r="D218" s="5">
        <v>8100.201</v>
      </c>
      <c r="E218" s="95">
        <f t="shared" si="11"/>
        <v>4.6444098115589965E-7</v>
      </c>
    </row>
    <row r="219" spans="1:10" x14ac:dyDescent="0.25">
      <c r="A219" s="31">
        <v>1997</v>
      </c>
      <c r="B219" s="80">
        <f t="shared" si="12"/>
        <v>67.786597</v>
      </c>
      <c r="C219" s="80">
        <f>Tabla1161721274175[[#This Row],[Balanza Comercial Absoluta USA
(US$ millones)]]/2</f>
        <v>33.8932985</v>
      </c>
      <c r="D219" s="5">
        <v>8608.5149999999994</v>
      </c>
      <c r="E219" s="95">
        <f t="shared" si="11"/>
        <v>3.9371829519957861E-7</v>
      </c>
    </row>
    <row r="220" spans="1:10" x14ac:dyDescent="0.25">
      <c r="A220" s="31">
        <v>1998</v>
      </c>
      <c r="B220" s="80">
        <f t="shared" si="12"/>
        <v>42.461099000000004</v>
      </c>
      <c r="C220" s="80">
        <f>Tabla1161721274175[[#This Row],[Balanza Comercial Absoluta USA
(US$ millones)]]/2</f>
        <v>21.230549500000002</v>
      </c>
      <c r="D220" s="5">
        <v>9089.1679999999997</v>
      </c>
      <c r="E220" s="95">
        <f t="shared" si="11"/>
        <v>2.3358077989096476E-7</v>
      </c>
    </row>
    <row r="221" spans="1:10" x14ac:dyDescent="0.25">
      <c r="A221" s="31">
        <v>1999</v>
      </c>
      <c r="B221" s="80">
        <f t="shared" si="12"/>
        <v>51.282055</v>
      </c>
      <c r="C221" s="80">
        <f>Tabla1161721274175[[#This Row],[Balanza Comercial Absoluta USA
(US$ millones)]]/2</f>
        <v>25.6410275</v>
      </c>
      <c r="D221" s="5">
        <v>9660.6239999999998</v>
      </c>
      <c r="E221" s="95">
        <f t="shared" si="11"/>
        <v>2.6541792227914054E-7</v>
      </c>
    </row>
    <row r="222" spans="1:10" x14ac:dyDescent="0.25">
      <c r="A222" s="31">
        <v>2000</v>
      </c>
      <c r="B222" s="80">
        <f t="shared" si="12"/>
        <v>47.942578000000005</v>
      </c>
      <c r="C222" s="80">
        <f>Tabla1161721274175[[#This Row],[Balanza Comercial Absoluta USA
(US$ millones)]]/2</f>
        <v>23.971289000000002</v>
      </c>
      <c r="D222" s="5">
        <v>10284.779</v>
      </c>
      <c r="E222" s="95">
        <f t="shared" si="11"/>
        <v>2.3307539228601802E-7</v>
      </c>
    </row>
    <row r="223" spans="1:10" x14ac:dyDescent="0.25">
      <c r="A223" s="31">
        <v>2001</v>
      </c>
      <c r="B223" s="80">
        <f t="shared" si="12"/>
        <v>46.662134000000009</v>
      </c>
      <c r="C223" s="80">
        <f>Tabla1161721274175[[#This Row],[Balanza Comercial Absoluta USA
(US$ millones)]]/2</f>
        <v>23.331067000000004</v>
      </c>
      <c r="D223" s="5">
        <v>10621.824000000001</v>
      </c>
      <c r="E223" s="95">
        <f t="shared" si="11"/>
        <v>2.1965217085125871E-7</v>
      </c>
    </row>
    <row r="224" spans="1:10" x14ac:dyDescent="0.25">
      <c r="A224" s="31">
        <v>2002</v>
      </c>
      <c r="B224" s="80">
        <f t="shared" si="12"/>
        <v>41.517641000000005</v>
      </c>
      <c r="C224" s="80">
        <f>Tabla1161721274175[[#This Row],[Balanza Comercial Absoluta USA
(US$ millones)]]/2</f>
        <v>20.758820500000002</v>
      </c>
      <c r="D224" s="5">
        <v>10977.513999999999</v>
      </c>
      <c r="E224" s="95">
        <f t="shared" si="11"/>
        <v>1.8910311114155721E-7</v>
      </c>
    </row>
    <row r="225" spans="1:5" x14ac:dyDescent="0.25">
      <c r="A225" s="31">
        <v>2003</v>
      </c>
      <c r="B225" s="80">
        <f t="shared" si="12"/>
        <v>33.493023999999998</v>
      </c>
      <c r="C225" s="80">
        <f>Tabla1161721274175[[#This Row],[Balanza Comercial Absoluta USA
(US$ millones)]]/2</f>
        <v>16.746511999999999</v>
      </c>
      <c r="D225" s="5">
        <v>11510.67</v>
      </c>
      <c r="E225" s="95">
        <f t="shared" si="11"/>
        <v>1.4548685697704826E-7</v>
      </c>
    </row>
    <row r="226" spans="1:5" x14ac:dyDescent="0.25">
      <c r="A226" s="31">
        <v>2004</v>
      </c>
      <c r="B226" s="80">
        <f t="shared" si="12"/>
        <v>32.072651</v>
      </c>
      <c r="C226" s="80">
        <f>Tabla1161721274175[[#This Row],[Balanza Comercial Absoluta USA
(US$ millones)]]/2</f>
        <v>16.0363255</v>
      </c>
      <c r="D226" s="5">
        <v>12274.928</v>
      </c>
      <c r="E226" s="95">
        <f t="shared" si="11"/>
        <v>1.3064292922940158E-7</v>
      </c>
    </row>
    <row r="227" spans="1:5" x14ac:dyDescent="0.25">
      <c r="A227" s="31">
        <v>2005</v>
      </c>
      <c r="B227" s="80">
        <f t="shared" si="12"/>
        <v>32.522680999999999</v>
      </c>
      <c r="C227" s="80">
        <f>Tabla1161721274175[[#This Row],[Balanza Comercial Absoluta USA
(US$ millones)]]/2</f>
        <v>16.261340499999999</v>
      </c>
      <c r="D227" s="5">
        <v>13093.726000000001</v>
      </c>
      <c r="E227" s="95">
        <f t="shared" si="11"/>
        <v>1.2419184959269806E-7</v>
      </c>
    </row>
    <row r="228" spans="1:5" x14ac:dyDescent="0.25">
      <c r="A228" s="31">
        <v>2006</v>
      </c>
      <c r="B228" s="80">
        <f t="shared" si="12"/>
        <v>29.279149999999998</v>
      </c>
      <c r="C228" s="80">
        <f>Tabla1161721274175[[#This Row],[Balanza Comercial Absoluta USA
(US$ millones)]]/2</f>
        <v>14.639574999999999</v>
      </c>
      <c r="D228" s="5">
        <v>13855.888000000001</v>
      </c>
      <c r="E228" s="95">
        <f t="shared" si="11"/>
        <v>1.0565598538325366E-7</v>
      </c>
    </row>
    <row r="229" spans="1:5" x14ac:dyDescent="0.25">
      <c r="A229" s="31">
        <v>2007</v>
      </c>
      <c r="B229" s="80">
        <f t="shared" si="12"/>
        <v>20.176260000000003</v>
      </c>
      <c r="C229" s="80">
        <f>Tabla1161721274175[[#This Row],[Balanza Comercial Absoluta USA
(US$ millones)]]/2</f>
        <v>10.088130000000001</v>
      </c>
      <c r="D229" s="5">
        <v>14477.635</v>
      </c>
      <c r="E229" s="95">
        <f t="shared" si="11"/>
        <v>6.9680786951736257E-8</v>
      </c>
    </row>
    <row r="230" spans="1:5" x14ac:dyDescent="0.25">
      <c r="A230" s="31">
        <v>2008</v>
      </c>
      <c r="B230" s="80">
        <f t="shared" si="12"/>
        <v>28.667615000000005</v>
      </c>
      <c r="C230" s="80">
        <f>Tabla1161721274175[[#This Row],[Balanza Comercial Absoluta USA
(US$ millones)]]/2</f>
        <v>14.333807500000002</v>
      </c>
      <c r="D230" s="5">
        <v>14718.582</v>
      </c>
      <c r="E230" s="95">
        <f t="shared" si="11"/>
        <v>9.7385790968178883E-8</v>
      </c>
    </row>
    <row r="231" spans="1:5" x14ac:dyDescent="0.25">
      <c r="A231" s="31">
        <v>2009</v>
      </c>
      <c r="B231" s="80">
        <f t="shared" si="12"/>
        <v>32.936782999999998</v>
      </c>
      <c r="C231" s="80">
        <f>Tabla1161721274175[[#This Row],[Balanza Comercial Absoluta USA
(US$ millones)]]/2</f>
        <v>16.468391499999999</v>
      </c>
      <c r="D231" s="5">
        <v>14418.739</v>
      </c>
      <c r="E231" s="95">
        <f t="shared" si="11"/>
        <v>1.1421519940127912E-7</v>
      </c>
    </row>
    <row r="232" spans="1:5" x14ac:dyDescent="0.25">
      <c r="A232" s="31">
        <v>2010</v>
      </c>
      <c r="B232" s="80">
        <f t="shared" si="12"/>
        <v>52.657853000000003</v>
      </c>
      <c r="C232" s="80">
        <f>Tabla1161721274175[[#This Row],[Balanza Comercial Absoluta USA
(US$ millones)]]/2</f>
        <v>26.328926500000001</v>
      </c>
      <c r="D232" s="5">
        <v>14964.371999999999</v>
      </c>
      <c r="E232" s="95">
        <f t="shared" si="11"/>
        <v>1.7594407904321011E-7</v>
      </c>
    </row>
    <row r="233" spans="1:5" x14ac:dyDescent="0.25">
      <c r="A233" s="31">
        <v>2011</v>
      </c>
      <c r="B233" s="80">
        <f t="shared" si="12"/>
        <v>54.404145</v>
      </c>
      <c r="C233" s="80">
        <f>Tabla1161721274175[[#This Row],[Balanza Comercial Absoluta USA
(US$ millones)]]/2</f>
        <v>27.2020725</v>
      </c>
      <c r="D233" s="5">
        <v>15517.925999999999</v>
      </c>
      <c r="E233" s="95">
        <f t="shared" si="11"/>
        <v>1.752945110061744E-7</v>
      </c>
    </row>
    <row r="234" spans="1:5" x14ac:dyDescent="0.25">
      <c r="A234" s="31">
        <v>2012</v>
      </c>
      <c r="B234" s="80">
        <f t="shared" si="12"/>
        <v>73.206535000000002</v>
      </c>
      <c r="C234" s="80">
        <f>Tabla1161721274175[[#This Row],[Balanza Comercial Absoluta USA
(US$ millones)]]/2</f>
        <v>36.603267500000001</v>
      </c>
      <c r="D234" s="5">
        <v>16155.254999999999</v>
      </c>
      <c r="E234" s="95">
        <f t="shared" si="11"/>
        <v>2.2657189564633923E-7</v>
      </c>
    </row>
    <row r="235" spans="1:5" x14ac:dyDescent="0.25">
      <c r="A235" s="31">
        <v>2013</v>
      </c>
      <c r="B235" s="80">
        <f t="shared" si="12"/>
        <v>81.903179000000009</v>
      </c>
      <c r="C235" s="80">
        <f>Tabla1161721274175[[#This Row],[Balanza Comercial Absoluta USA
(US$ millones)]]/2</f>
        <v>40.951589500000004</v>
      </c>
      <c r="D235" s="5">
        <v>16663.16</v>
      </c>
      <c r="E235" s="95">
        <f t="shared" si="11"/>
        <v>2.4576124516598295E-7</v>
      </c>
    </row>
    <row r="236" spans="1:5" x14ac:dyDescent="0.25">
      <c r="A236" s="31">
        <v>2014</v>
      </c>
      <c r="B236" s="80">
        <f t="shared" si="12"/>
        <v>90.997570999999994</v>
      </c>
      <c r="C236" s="80">
        <f>Tabla1161721274175[[#This Row],[Balanza Comercial Absoluta USA
(US$ millones)]]/2</f>
        <v>45.498785499999997</v>
      </c>
      <c r="D236" s="5">
        <v>17348.071499999998</v>
      </c>
      <c r="E236" s="95">
        <f t="shared" si="11"/>
        <v>2.6226999064420503E-7</v>
      </c>
    </row>
    <row r="237" spans="1:5" x14ac:dyDescent="0.25">
      <c r="A237" s="31">
        <v>2015</v>
      </c>
      <c r="B237" s="80">
        <f t="shared" si="12"/>
        <v>84.490143000000018</v>
      </c>
      <c r="C237" s="80">
        <f>Tabla1161721274175[[#This Row],[Balanza Comercial Absoluta USA
(US$ millones)]]/2</f>
        <v>42.245071500000009</v>
      </c>
      <c r="D237" s="5">
        <v>17946.995999999999</v>
      </c>
      <c r="E237" s="95">
        <f t="shared" si="11"/>
        <v>2.353879808074845E-7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160" zoomScale="80" zoomScaleNormal="80" workbookViewId="0">
      <selection activeCell="B65" sqref="B65:B89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30</v>
      </c>
    </row>
    <row r="4" spans="1:10" x14ac:dyDescent="0.25">
      <c r="A4" s="134" t="s">
        <v>31</v>
      </c>
      <c r="B4" s="134"/>
      <c r="C4" s="134"/>
      <c r="D4" s="134"/>
    </row>
    <row r="5" spans="1:10" ht="60" x14ac:dyDescent="0.25">
      <c r="A5" s="92" t="s">
        <v>3</v>
      </c>
      <c r="B5" s="34" t="s">
        <v>13</v>
      </c>
      <c r="C5" s="34" t="s">
        <v>68</v>
      </c>
      <c r="D5" s="34" t="s">
        <v>38</v>
      </c>
    </row>
    <row r="6" spans="1:10" x14ac:dyDescent="0.25">
      <c r="A6" s="37">
        <v>1991</v>
      </c>
      <c r="B6" s="69">
        <f>'Export 03'!B2</f>
        <v>63.441144000000001</v>
      </c>
      <c r="C6" s="39">
        <v>34830570</v>
      </c>
      <c r="D6" s="82">
        <f>(B6*1000000/C6)</f>
        <v>1.8214213548615483</v>
      </c>
      <c r="F6" s="7" t="s">
        <v>69</v>
      </c>
      <c r="I6" s="1" t="s">
        <v>10</v>
      </c>
      <c r="J6" s="7" t="s">
        <v>70</v>
      </c>
    </row>
    <row r="7" spans="1:10" x14ac:dyDescent="0.25">
      <c r="A7" s="38">
        <v>1992</v>
      </c>
      <c r="B7" s="69">
        <f>'Export 03'!B3</f>
        <v>48.238895999999997</v>
      </c>
      <c r="C7" s="40">
        <v>35520940</v>
      </c>
      <c r="D7" s="82">
        <f t="shared" ref="D7:D30" si="0">(B7*1000000/C7)</f>
        <v>1.3580410878766158</v>
      </c>
    </row>
    <row r="8" spans="1:10" x14ac:dyDescent="0.25">
      <c r="A8" s="37">
        <v>1993</v>
      </c>
      <c r="B8" s="69">
        <f>'Export 03'!B4</f>
        <v>63.864524000000003</v>
      </c>
      <c r="C8" s="39">
        <v>36207108</v>
      </c>
      <c r="D8" s="82">
        <f t="shared" si="0"/>
        <v>1.7638670285403628</v>
      </c>
    </row>
    <row r="9" spans="1:10" x14ac:dyDescent="0.25">
      <c r="A9" s="38">
        <v>1994</v>
      </c>
      <c r="B9" s="69">
        <f>'Export 03'!B5</f>
        <v>84.264263999999997</v>
      </c>
      <c r="C9" s="40">
        <v>36853905</v>
      </c>
      <c r="D9" s="82">
        <f t="shared" si="0"/>
        <v>2.286440582076716</v>
      </c>
    </row>
    <row r="10" spans="1:10" x14ac:dyDescent="0.25">
      <c r="A10" s="37">
        <v>1995</v>
      </c>
      <c r="B10" s="69">
        <f>'Export 03'!B6</f>
        <v>86.595408000000006</v>
      </c>
      <c r="C10" s="39">
        <v>37472184</v>
      </c>
      <c r="D10" s="82">
        <f t="shared" si="0"/>
        <v>2.3109250317515522</v>
      </c>
    </row>
    <row r="11" spans="1:10" x14ac:dyDescent="0.25">
      <c r="A11" s="38">
        <v>1996</v>
      </c>
      <c r="B11" s="69">
        <f>'Export 03'!B7</f>
        <v>73.860624000000001</v>
      </c>
      <c r="C11" s="40">
        <v>38068050</v>
      </c>
      <c r="D11" s="82">
        <f t="shared" si="0"/>
        <v>1.9402260951112547</v>
      </c>
    </row>
    <row r="12" spans="1:10" x14ac:dyDescent="0.25">
      <c r="A12" s="37">
        <v>1997</v>
      </c>
      <c r="B12" s="69">
        <f>'Export 03'!B8</f>
        <v>66.271575999999996</v>
      </c>
      <c r="C12" s="39">
        <v>38635691</v>
      </c>
      <c r="D12" s="82">
        <f t="shared" si="0"/>
        <v>1.7152941822627163</v>
      </c>
    </row>
    <row r="13" spans="1:10" x14ac:dyDescent="0.25">
      <c r="A13" s="38">
        <v>1998</v>
      </c>
      <c r="B13" s="69">
        <f>'Export 03'!B9</f>
        <v>40.257060000000003</v>
      </c>
      <c r="C13" s="40">
        <v>39184456</v>
      </c>
      <c r="D13" s="82">
        <f t="shared" si="0"/>
        <v>1.0273732012510266</v>
      </c>
    </row>
    <row r="14" spans="1:10" x14ac:dyDescent="0.25">
      <c r="A14" s="37">
        <v>1999</v>
      </c>
      <c r="B14" s="69">
        <f>'Export 03'!B10</f>
        <v>50.189104</v>
      </c>
      <c r="C14" s="39">
        <v>39730798</v>
      </c>
      <c r="D14" s="82">
        <f t="shared" si="0"/>
        <v>1.263229195648172</v>
      </c>
    </row>
    <row r="15" spans="1:10" x14ac:dyDescent="0.25">
      <c r="A15" s="38">
        <v>2000</v>
      </c>
      <c r="B15" s="69">
        <f>'Export 03'!B11</f>
        <v>46.924646000000003</v>
      </c>
      <c r="C15" s="40">
        <v>40295563</v>
      </c>
      <c r="D15" s="82">
        <f t="shared" si="0"/>
        <v>1.164511487282111</v>
      </c>
    </row>
    <row r="16" spans="1:10" x14ac:dyDescent="0.25">
      <c r="A16" s="37">
        <v>2001</v>
      </c>
      <c r="B16" s="69">
        <f>'Export 03'!B12</f>
        <v>45.705840000000002</v>
      </c>
      <c r="C16" s="39">
        <v>40813541</v>
      </c>
      <c r="D16" s="82">
        <f t="shared" si="0"/>
        <v>1.1198695060543755</v>
      </c>
    </row>
    <row r="17" spans="1:4" x14ac:dyDescent="0.25">
      <c r="A17" s="38">
        <v>2002</v>
      </c>
      <c r="B17" s="69">
        <f>'Export 03'!B13</f>
        <v>40.696807</v>
      </c>
      <c r="C17" s="40">
        <v>41328824</v>
      </c>
      <c r="D17" s="82">
        <f t="shared" si="0"/>
        <v>0.98470759777728012</v>
      </c>
    </row>
    <row r="18" spans="1:4" x14ac:dyDescent="0.25">
      <c r="A18" s="37">
        <v>2003</v>
      </c>
      <c r="B18" s="69">
        <f>'Export 03'!B14</f>
        <v>32.985366999999997</v>
      </c>
      <c r="C18" s="39">
        <v>41848959</v>
      </c>
      <c r="D18" s="82">
        <f t="shared" si="0"/>
        <v>0.7882004185576037</v>
      </c>
    </row>
    <row r="19" spans="1:4" x14ac:dyDescent="0.25">
      <c r="A19" s="38">
        <v>2004</v>
      </c>
      <c r="B19" s="69">
        <f>'Export 03'!B15</f>
        <v>31.343896999999998</v>
      </c>
      <c r="C19" s="40">
        <v>42368489</v>
      </c>
      <c r="D19" s="82">
        <f t="shared" si="0"/>
        <v>0.73979265581078424</v>
      </c>
    </row>
    <row r="20" spans="1:4" x14ac:dyDescent="0.25">
      <c r="A20" s="37">
        <v>2005</v>
      </c>
      <c r="B20" s="69">
        <f>'Export 03'!B16</f>
        <v>31.474772999999999</v>
      </c>
      <c r="C20" s="39">
        <v>42888592</v>
      </c>
      <c r="D20" s="82">
        <f t="shared" si="0"/>
        <v>0.73387284432186539</v>
      </c>
    </row>
    <row r="21" spans="1:4" x14ac:dyDescent="0.25">
      <c r="A21" s="38">
        <v>2006</v>
      </c>
      <c r="B21" s="69">
        <f>'Export 03'!B17</f>
        <v>27.746327999999998</v>
      </c>
      <c r="C21" s="40">
        <v>43405956</v>
      </c>
      <c r="D21" s="82">
        <f t="shared" si="0"/>
        <v>0.63922858881394062</v>
      </c>
    </row>
    <row r="22" spans="1:4" x14ac:dyDescent="0.25">
      <c r="A22" s="37">
        <v>2007</v>
      </c>
      <c r="B22" s="69">
        <f>'Export 03'!B18</f>
        <v>18.709197</v>
      </c>
      <c r="C22" s="39">
        <v>43926929</v>
      </c>
      <c r="D22" s="82">
        <f t="shared" si="0"/>
        <v>0.42591634393562999</v>
      </c>
    </row>
    <row r="23" spans="1:4" x14ac:dyDescent="0.25">
      <c r="A23" s="38">
        <v>2008</v>
      </c>
      <c r="B23" s="69">
        <f>'Export 03'!B19</f>
        <v>26.364070000000002</v>
      </c>
      <c r="C23" s="40">
        <v>44451147</v>
      </c>
      <c r="D23" s="82">
        <f t="shared" si="0"/>
        <v>0.59310213075041684</v>
      </c>
    </row>
    <row r="24" spans="1:4" x14ac:dyDescent="0.25">
      <c r="A24" s="37">
        <v>2009</v>
      </c>
      <c r="B24" s="69">
        <f>'Export 03'!B20</f>
        <v>31.324175</v>
      </c>
      <c r="C24" s="39">
        <v>44978832</v>
      </c>
      <c r="D24" s="82">
        <f t="shared" si="0"/>
        <v>0.69642037392167055</v>
      </c>
    </row>
    <row r="25" spans="1:4" x14ac:dyDescent="0.25">
      <c r="A25" s="38">
        <v>2010</v>
      </c>
      <c r="B25" s="69">
        <f>'Export 03'!B21</f>
        <v>49.722799000000002</v>
      </c>
      <c r="C25" s="40">
        <v>45509584</v>
      </c>
      <c r="D25" s="82">
        <f t="shared" si="0"/>
        <v>1.0925786313493879</v>
      </c>
    </row>
    <row r="26" spans="1:4" x14ac:dyDescent="0.25">
      <c r="A26" s="37">
        <v>2011</v>
      </c>
      <c r="B26" s="69">
        <f>'Export 03'!B22</f>
        <v>52.138390999999999</v>
      </c>
      <c r="C26" s="39">
        <v>46044601</v>
      </c>
      <c r="D26" s="82">
        <f t="shared" si="0"/>
        <v>1.1323453753025245</v>
      </c>
    </row>
    <row r="27" spans="1:4" x14ac:dyDescent="0.25">
      <c r="A27" s="38">
        <v>2012</v>
      </c>
      <c r="B27" s="69">
        <f>'Export 03'!B23</f>
        <v>70.997045</v>
      </c>
      <c r="C27" s="40">
        <v>46581823</v>
      </c>
      <c r="D27" s="82">
        <f t="shared" si="0"/>
        <v>1.5241362494550719</v>
      </c>
    </row>
    <row r="28" spans="1:4" x14ac:dyDescent="0.25">
      <c r="A28" s="37">
        <v>2013</v>
      </c>
      <c r="B28" s="69">
        <f>'Export 03'!B24</f>
        <v>62.781016999999999</v>
      </c>
      <c r="C28" s="39">
        <v>47121089</v>
      </c>
      <c r="D28" s="82">
        <f t="shared" si="0"/>
        <v>1.3323337455125452</v>
      </c>
    </row>
    <row r="29" spans="1:4" x14ac:dyDescent="0.25">
      <c r="A29" s="38">
        <v>2014</v>
      </c>
      <c r="B29" s="69">
        <f>'Export 03'!B25</f>
        <v>79.216997000000006</v>
      </c>
      <c r="C29" s="40">
        <v>47661787</v>
      </c>
      <c r="D29" s="82">
        <f t="shared" si="0"/>
        <v>1.6620651886174558</v>
      </c>
    </row>
    <row r="30" spans="1:4" x14ac:dyDescent="0.25">
      <c r="A30" s="37">
        <v>2015</v>
      </c>
      <c r="B30" s="69">
        <f>'Export 03'!B26</f>
        <v>68.660020000000003</v>
      </c>
      <c r="C30" s="39">
        <v>48203405</v>
      </c>
      <c r="D30" s="82">
        <f t="shared" si="0"/>
        <v>1.4243811199644507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92" t="s">
        <v>3</v>
      </c>
      <c r="B35" s="34" t="s">
        <v>127</v>
      </c>
      <c r="C35" s="34" t="s">
        <v>68</v>
      </c>
      <c r="D35" s="34" t="s">
        <v>129</v>
      </c>
    </row>
    <row r="36" spans="1:10" x14ac:dyDescent="0.25">
      <c r="A36" s="37">
        <v>1991</v>
      </c>
      <c r="B36" s="100">
        <f>'Import 03'!B2</f>
        <v>802.80499999999995</v>
      </c>
      <c r="C36" s="39">
        <v>34830570</v>
      </c>
      <c r="D36" s="81">
        <f>(B36/C36)*1000</f>
        <v>2.3048861962350887E-2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100">
        <f>'Import 03'!B3</f>
        <v>812.29200000000003</v>
      </c>
      <c r="C37" s="40">
        <v>35520940</v>
      </c>
      <c r="D37" s="81">
        <f t="shared" ref="D37:D60" si="1">(B37/C37)*1000</f>
        <v>2.2867975903790836E-2</v>
      </c>
    </row>
    <row r="38" spans="1:10" x14ac:dyDescent="0.25">
      <c r="A38" s="37">
        <v>1993</v>
      </c>
      <c r="B38" s="100">
        <f>'Import 03'!B4</f>
        <v>925.322</v>
      </c>
      <c r="C38" s="39">
        <v>36207108</v>
      </c>
      <c r="D38" s="81">
        <f t="shared" si="1"/>
        <v>2.5556363131791694E-2</v>
      </c>
    </row>
    <row r="39" spans="1:10" x14ac:dyDescent="0.25">
      <c r="A39" s="38">
        <v>1994</v>
      </c>
      <c r="B39" s="100">
        <f>'Import 03'!B5</f>
        <v>1196.9010000000001</v>
      </c>
      <c r="C39" s="40">
        <v>36853905</v>
      </c>
      <c r="D39" s="81">
        <f t="shared" si="1"/>
        <v>3.2476911198419819E-2</v>
      </c>
    </row>
    <row r="40" spans="1:10" x14ac:dyDescent="0.25">
      <c r="A40" s="37">
        <v>1995</v>
      </c>
      <c r="B40" s="100">
        <f>'Import 03'!B6</f>
        <v>1228.4079999999999</v>
      </c>
      <c r="C40" s="39">
        <v>37472184</v>
      </c>
      <c r="D40" s="81">
        <f t="shared" si="1"/>
        <v>3.2781862941322022E-2</v>
      </c>
    </row>
    <row r="41" spans="1:10" x14ac:dyDescent="0.25">
      <c r="A41" s="38">
        <v>1996</v>
      </c>
      <c r="B41" s="100">
        <f>'Import 03'!B7</f>
        <v>1380.682</v>
      </c>
      <c r="C41" s="40">
        <v>38068050</v>
      </c>
      <c r="D41" s="81">
        <f t="shared" si="1"/>
        <v>3.6268787079979138E-2</v>
      </c>
    </row>
    <row r="42" spans="1:10" x14ac:dyDescent="0.25">
      <c r="A42" s="37">
        <v>1997</v>
      </c>
      <c r="B42" s="100">
        <f>'Import 03'!B8</f>
        <v>1515.021</v>
      </c>
      <c r="C42" s="39">
        <v>38635691</v>
      </c>
      <c r="D42" s="81">
        <f t="shared" si="1"/>
        <v>3.9212990910399398E-2</v>
      </c>
    </row>
    <row r="43" spans="1:10" x14ac:dyDescent="0.25">
      <c r="A43" s="38">
        <v>1998</v>
      </c>
      <c r="B43" s="100">
        <f>'Import 03'!B9</f>
        <v>2204.0390000000002</v>
      </c>
      <c r="C43" s="40">
        <v>39184456</v>
      </c>
      <c r="D43" s="81">
        <f t="shared" si="1"/>
        <v>5.6247788663953899E-2</v>
      </c>
    </row>
    <row r="44" spans="1:10" x14ac:dyDescent="0.25">
      <c r="A44" s="37">
        <v>1999</v>
      </c>
      <c r="B44" s="100">
        <f>'Import 03'!B10</f>
        <v>1092.951</v>
      </c>
      <c r="C44" s="39">
        <v>39730798</v>
      </c>
      <c r="D44" s="81">
        <f t="shared" si="1"/>
        <v>2.7508911348823148E-2</v>
      </c>
    </row>
    <row r="45" spans="1:10" x14ac:dyDescent="0.25">
      <c r="A45" s="38">
        <v>2000</v>
      </c>
      <c r="B45" s="100">
        <f>'Import 03'!B11</f>
        <v>1017.932</v>
      </c>
      <c r="C45" s="40">
        <v>40295563</v>
      </c>
      <c r="D45" s="81">
        <f t="shared" si="1"/>
        <v>2.5261639848536178E-2</v>
      </c>
    </row>
    <row r="46" spans="1:10" x14ac:dyDescent="0.25">
      <c r="A46" s="37">
        <v>2001</v>
      </c>
      <c r="B46" s="100">
        <f>'Import 03'!B12</f>
        <v>956.29399999999998</v>
      </c>
      <c r="C46" s="39">
        <v>40813541</v>
      </c>
      <c r="D46" s="81">
        <f t="shared" si="1"/>
        <v>2.3430802046801084E-2</v>
      </c>
    </row>
    <row r="47" spans="1:10" x14ac:dyDescent="0.25">
      <c r="A47" s="38">
        <v>2002</v>
      </c>
      <c r="B47" s="100">
        <f>'Import 03'!B13</f>
        <v>820.83399999999995</v>
      </c>
      <c r="C47" s="40">
        <v>41328824</v>
      </c>
      <c r="D47" s="81">
        <f t="shared" si="1"/>
        <v>1.9861053873683896E-2</v>
      </c>
    </row>
    <row r="48" spans="1:10" x14ac:dyDescent="0.25">
      <c r="A48" s="37">
        <v>2003</v>
      </c>
      <c r="B48" s="100">
        <f>'Import 03'!B14</f>
        <v>507.65699999999998</v>
      </c>
      <c r="C48" s="39">
        <v>41848959</v>
      </c>
      <c r="D48" s="81">
        <f t="shared" si="1"/>
        <v>1.2130696010861346E-2</v>
      </c>
    </row>
    <row r="49" spans="1:4" x14ac:dyDescent="0.25">
      <c r="A49" s="38">
        <v>2004</v>
      </c>
      <c r="B49" s="100">
        <f>'Import 03'!B15</f>
        <v>728.75400000000002</v>
      </c>
      <c r="C49" s="40">
        <v>42368489</v>
      </c>
      <c r="D49" s="81">
        <f t="shared" si="1"/>
        <v>1.7200377384239501E-2</v>
      </c>
    </row>
    <row r="50" spans="1:4" x14ac:dyDescent="0.25">
      <c r="A50" s="37">
        <v>2005</v>
      </c>
      <c r="B50" s="100">
        <f>'Import 03'!B16</f>
        <v>1047.9079999999999</v>
      </c>
      <c r="C50" s="39">
        <v>42888592</v>
      </c>
      <c r="D50" s="81">
        <f t="shared" si="1"/>
        <v>2.4433257216744254E-2</v>
      </c>
    </row>
    <row r="51" spans="1:4" x14ac:dyDescent="0.25">
      <c r="A51" s="38">
        <v>2006</v>
      </c>
      <c r="B51" s="100">
        <f>'Import 03'!B17</f>
        <v>1532.8219999999999</v>
      </c>
      <c r="C51" s="40">
        <v>43405956</v>
      </c>
      <c r="D51" s="81">
        <f t="shared" si="1"/>
        <v>3.5313632995435003E-2</v>
      </c>
    </row>
    <row r="52" spans="1:4" x14ac:dyDescent="0.25">
      <c r="A52" s="37">
        <v>2007</v>
      </c>
      <c r="B52" s="100">
        <f>'Import 03'!B18</f>
        <v>1467.0630000000001</v>
      </c>
      <c r="C52" s="39">
        <v>43926929</v>
      </c>
      <c r="D52" s="81">
        <f t="shared" si="1"/>
        <v>3.3397804795322707E-2</v>
      </c>
    </row>
    <row r="53" spans="1:4" x14ac:dyDescent="0.25">
      <c r="A53" s="38">
        <v>2008</v>
      </c>
      <c r="B53" s="100">
        <f>'Import 03'!B19</f>
        <v>2303.5450000000001</v>
      </c>
      <c r="C53" s="40">
        <v>44451147</v>
      </c>
      <c r="D53" s="81">
        <f t="shared" si="1"/>
        <v>5.1821947361673261E-2</v>
      </c>
    </row>
    <row r="54" spans="1:4" x14ac:dyDescent="0.25">
      <c r="A54" s="37">
        <v>2009</v>
      </c>
      <c r="B54" s="100">
        <f>'Import 03'!B20</f>
        <v>1612.6079999999999</v>
      </c>
      <c r="C54" s="39">
        <v>44978832</v>
      </c>
      <c r="D54" s="81">
        <f t="shared" si="1"/>
        <v>3.5852598395618634E-2</v>
      </c>
    </row>
    <row r="55" spans="1:4" x14ac:dyDescent="0.25">
      <c r="A55" s="38">
        <v>2010</v>
      </c>
      <c r="B55" s="100">
        <f>'Import 03'!B21</f>
        <v>2935.0540000000001</v>
      </c>
      <c r="C55" s="40">
        <v>45509584</v>
      </c>
      <c r="D55" s="81">
        <f t="shared" si="1"/>
        <v>6.4493096662891936E-2</v>
      </c>
    </row>
    <row r="56" spans="1:4" x14ac:dyDescent="0.25">
      <c r="A56" s="37">
        <v>2011</v>
      </c>
      <c r="B56" s="100">
        <f>'Import 03'!B22</f>
        <v>2265.7539999999999</v>
      </c>
      <c r="C56" s="39">
        <v>46044601</v>
      </c>
      <c r="D56" s="81">
        <f t="shared" si="1"/>
        <v>4.9207810487922353E-2</v>
      </c>
    </row>
    <row r="57" spans="1:4" x14ac:dyDescent="0.25">
      <c r="A57" s="38">
        <v>2012</v>
      </c>
      <c r="B57" s="100">
        <f>'Import 03'!B23</f>
        <v>2209.4899999999998</v>
      </c>
      <c r="C57" s="40">
        <v>46581823</v>
      </c>
      <c r="D57" s="81">
        <f t="shared" si="1"/>
        <v>4.7432450207026029E-2</v>
      </c>
    </row>
    <row r="58" spans="1:4" x14ac:dyDescent="0.25">
      <c r="A58" s="37">
        <v>2013</v>
      </c>
      <c r="B58" s="100">
        <f>'Import 03'!B24</f>
        <v>19122.162</v>
      </c>
      <c r="C58" s="39">
        <v>47121089</v>
      </c>
      <c r="D58" s="81">
        <f t="shared" si="1"/>
        <v>0.40580899987264724</v>
      </c>
    </row>
    <row r="59" spans="1:4" x14ac:dyDescent="0.25">
      <c r="A59" s="38">
        <v>2014</v>
      </c>
      <c r="B59" s="100">
        <f>'Import 03'!B25</f>
        <v>11780.574000000001</v>
      </c>
      <c r="C59" s="40">
        <v>47661787</v>
      </c>
      <c r="D59" s="81">
        <f t="shared" si="1"/>
        <v>0.24717021206107948</v>
      </c>
    </row>
    <row r="60" spans="1:4" x14ac:dyDescent="0.25">
      <c r="A60" s="37">
        <v>2015</v>
      </c>
      <c r="B60" s="100">
        <f>'Import 03'!B26</f>
        <v>15830.123</v>
      </c>
      <c r="C60" s="39">
        <v>48203405</v>
      </c>
      <c r="D60" s="81">
        <f t="shared" si="1"/>
        <v>0.32840258898723024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92" t="s">
        <v>3</v>
      </c>
      <c r="B64" s="34" t="s">
        <v>65</v>
      </c>
      <c r="C64" s="34" t="s">
        <v>68</v>
      </c>
      <c r="D64" s="34" t="s">
        <v>132</v>
      </c>
    </row>
    <row r="65" spans="1:10" x14ac:dyDescent="0.25">
      <c r="A65" s="37">
        <v>1991</v>
      </c>
      <c r="B65" s="69">
        <f>B6+(B36/1000)</f>
        <v>64.243949000000001</v>
      </c>
      <c r="C65" s="39">
        <v>34830570</v>
      </c>
      <c r="D65" s="35">
        <f>(B65/C65)*1000000</f>
        <v>1.8444702168238993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69">
        <f t="shared" ref="B66:B89" si="2">B7+(B37/1000)</f>
        <v>49.051187999999996</v>
      </c>
      <c r="C66" s="40">
        <v>35520940</v>
      </c>
      <c r="D66" s="35">
        <f t="shared" ref="D66:D89" si="3">(B66/C66)*1000000</f>
        <v>1.3809090637804065</v>
      </c>
    </row>
    <row r="67" spans="1:10" x14ac:dyDescent="0.25">
      <c r="A67" s="37">
        <v>1993</v>
      </c>
      <c r="B67" s="69">
        <f t="shared" si="2"/>
        <v>64.789845999999997</v>
      </c>
      <c r="C67" s="39">
        <v>36207108</v>
      </c>
      <c r="D67" s="35">
        <f t="shared" si="3"/>
        <v>1.7894233916721545</v>
      </c>
    </row>
    <row r="68" spans="1:10" x14ac:dyDescent="0.25">
      <c r="A68" s="38">
        <v>1994</v>
      </c>
      <c r="B68" s="69">
        <f t="shared" si="2"/>
        <v>85.461164999999994</v>
      </c>
      <c r="C68" s="40">
        <v>36853905</v>
      </c>
      <c r="D68" s="35">
        <f t="shared" si="3"/>
        <v>2.3189174932751362</v>
      </c>
    </row>
    <row r="69" spans="1:10" x14ac:dyDescent="0.25">
      <c r="A69" s="37">
        <v>1995</v>
      </c>
      <c r="B69" s="69">
        <f t="shared" si="2"/>
        <v>87.823816000000008</v>
      </c>
      <c r="C69" s="39">
        <v>37472184</v>
      </c>
      <c r="D69" s="35">
        <f t="shared" si="3"/>
        <v>2.3437068946928741</v>
      </c>
    </row>
    <row r="70" spans="1:10" x14ac:dyDescent="0.25">
      <c r="A70" s="38">
        <v>1996</v>
      </c>
      <c r="B70" s="69">
        <f t="shared" si="2"/>
        <v>75.241305999999994</v>
      </c>
      <c r="C70" s="40">
        <v>38068050</v>
      </c>
      <c r="D70" s="35">
        <f t="shared" si="3"/>
        <v>1.9764948821912336</v>
      </c>
    </row>
    <row r="71" spans="1:10" x14ac:dyDescent="0.25">
      <c r="A71" s="37">
        <v>1997</v>
      </c>
      <c r="B71" s="69">
        <f t="shared" si="2"/>
        <v>67.786597</v>
      </c>
      <c r="C71" s="39">
        <v>38635691</v>
      </c>
      <c r="D71" s="35">
        <f t="shared" si="3"/>
        <v>1.7545071731731159</v>
      </c>
    </row>
    <row r="72" spans="1:10" x14ac:dyDescent="0.25">
      <c r="A72" s="38">
        <v>1998</v>
      </c>
      <c r="B72" s="69">
        <f t="shared" si="2"/>
        <v>42.461099000000004</v>
      </c>
      <c r="C72" s="40">
        <v>39184456</v>
      </c>
      <c r="D72" s="35">
        <f t="shared" si="3"/>
        <v>1.0836209899149807</v>
      </c>
    </row>
    <row r="73" spans="1:10" x14ac:dyDescent="0.25">
      <c r="A73" s="37">
        <v>1999</v>
      </c>
      <c r="B73" s="69">
        <f t="shared" si="2"/>
        <v>51.282055</v>
      </c>
      <c r="C73" s="39">
        <v>39730798</v>
      </c>
      <c r="D73" s="35">
        <f t="shared" si="3"/>
        <v>1.2907381069969952</v>
      </c>
    </row>
    <row r="74" spans="1:10" x14ac:dyDescent="0.25">
      <c r="A74" s="38">
        <v>2000</v>
      </c>
      <c r="B74" s="69">
        <f t="shared" si="2"/>
        <v>47.942578000000005</v>
      </c>
      <c r="C74" s="40">
        <v>40295563</v>
      </c>
      <c r="D74" s="35">
        <f t="shared" si="3"/>
        <v>1.1897731271306473</v>
      </c>
    </row>
    <row r="75" spans="1:10" x14ac:dyDescent="0.25">
      <c r="A75" s="37">
        <v>2001</v>
      </c>
      <c r="B75" s="69">
        <f t="shared" si="2"/>
        <v>46.662134000000002</v>
      </c>
      <c r="C75" s="39">
        <v>40813541</v>
      </c>
      <c r="D75" s="35">
        <f t="shared" si="3"/>
        <v>1.1433003081011766</v>
      </c>
    </row>
    <row r="76" spans="1:10" x14ac:dyDescent="0.25">
      <c r="A76" s="38">
        <v>2002</v>
      </c>
      <c r="B76" s="69">
        <f t="shared" si="2"/>
        <v>41.517640999999998</v>
      </c>
      <c r="C76" s="40">
        <v>41328824</v>
      </c>
      <c r="D76" s="35">
        <f t="shared" si="3"/>
        <v>1.0045686516509638</v>
      </c>
    </row>
    <row r="77" spans="1:10" x14ac:dyDescent="0.25">
      <c r="A77" s="37">
        <v>2003</v>
      </c>
      <c r="B77" s="69">
        <f t="shared" si="2"/>
        <v>33.493023999999998</v>
      </c>
      <c r="C77" s="39">
        <v>41848959</v>
      </c>
      <c r="D77" s="35">
        <f t="shared" si="3"/>
        <v>0.80033111456846506</v>
      </c>
    </row>
    <row r="78" spans="1:10" x14ac:dyDescent="0.25">
      <c r="A78" s="38">
        <v>2004</v>
      </c>
      <c r="B78" s="69">
        <f t="shared" si="2"/>
        <v>32.072651</v>
      </c>
      <c r="C78" s="40">
        <v>42368489</v>
      </c>
      <c r="D78" s="35">
        <f t="shared" si="3"/>
        <v>0.75699303319502376</v>
      </c>
    </row>
    <row r="79" spans="1:10" x14ac:dyDescent="0.25">
      <c r="A79" s="37">
        <v>2005</v>
      </c>
      <c r="B79" s="69">
        <f t="shared" si="2"/>
        <v>32.522680999999999</v>
      </c>
      <c r="C79" s="39">
        <v>42888592</v>
      </c>
      <c r="D79" s="35">
        <f t="shared" si="3"/>
        <v>0.75830610153860967</v>
      </c>
    </row>
    <row r="80" spans="1:10" x14ac:dyDescent="0.25">
      <c r="A80" s="38">
        <v>2006</v>
      </c>
      <c r="B80" s="69">
        <f t="shared" si="2"/>
        <v>29.279149999999998</v>
      </c>
      <c r="C80" s="40">
        <v>43405956</v>
      </c>
      <c r="D80" s="35">
        <f t="shared" si="3"/>
        <v>0.67454222180937562</v>
      </c>
    </row>
    <row r="81" spans="1:4" x14ac:dyDescent="0.25">
      <c r="A81" s="37">
        <v>2007</v>
      </c>
      <c r="B81" s="69">
        <f t="shared" si="2"/>
        <v>20.176259999999999</v>
      </c>
      <c r="C81" s="39">
        <v>43926929</v>
      </c>
      <c r="D81" s="35">
        <f t="shared" si="3"/>
        <v>0.45931414873095272</v>
      </c>
    </row>
    <row r="82" spans="1:4" x14ac:dyDescent="0.25">
      <c r="A82" s="38">
        <v>2008</v>
      </c>
      <c r="B82" s="69">
        <f t="shared" si="2"/>
        <v>28.667615000000001</v>
      </c>
      <c r="C82" s="40">
        <v>44451147</v>
      </c>
      <c r="D82" s="35">
        <f t="shared" si="3"/>
        <v>0.64492407811209018</v>
      </c>
    </row>
    <row r="83" spans="1:4" x14ac:dyDescent="0.25">
      <c r="A83" s="37">
        <v>2009</v>
      </c>
      <c r="B83" s="69">
        <f t="shared" si="2"/>
        <v>32.936782999999998</v>
      </c>
      <c r="C83" s="39">
        <v>44978832</v>
      </c>
      <c r="D83" s="35">
        <f t="shared" si="3"/>
        <v>0.73227297231728905</v>
      </c>
    </row>
    <row r="84" spans="1:4" x14ac:dyDescent="0.25">
      <c r="A84" s="38">
        <v>2010</v>
      </c>
      <c r="B84" s="69">
        <f t="shared" si="2"/>
        <v>52.657853000000003</v>
      </c>
      <c r="C84" s="40">
        <v>45509584</v>
      </c>
      <c r="D84" s="35">
        <f t="shared" si="3"/>
        <v>1.15707172801228</v>
      </c>
    </row>
    <row r="85" spans="1:4" x14ac:dyDescent="0.25">
      <c r="A85" s="37">
        <v>2011</v>
      </c>
      <c r="B85" s="69">
        <f t="shared" si="2"/>
        <v>54.404145</v>
      </c>
      <c r="C85" s="39">
        <v>46044601</v>
      </c>
      <c r="D85" s="35">
        <f t="shared" si="3"/>
        <v>1.1815531857904469</v>
      </c>
    </row>
    <row r="86" spans="1:4" x14ac:dyDescent="0.25">
      <c r="A86" s="38">
        <v>2012</v>
      </c>
      <c r="B86" s="69">
        <f t="shared" si="2"/>
        <v>73.206535000000002</v>
      </c>
      <c r="C86" s="40">
        <v>46581823</v>
      </c>
      <c r="D86" s="35">
        <f t="shared" si="3"/>
        <v>1.5715686996620979</v>
      </c>
    </row>
    <row r="87" spans="1:4" x14ac:dyDescent="0.25">
      <c r="A87" s="37">
        <v>2013</v>
      </c>
      <c r="B87" s="69">
        <f t="shared" si="2"/>
        <v>81.903178999999994</v>
      </c>
      <c r="C87" s="39">
        <v>47121089</v>
      </c>
      <c r="D87" s="35">
        <f t="shared" si="3"/>
        <v>1.7381427453851925</v>
      </c>
    </row>
    <row r="88" spans="1:4" x14ac:dyDescent="0.25">
      <c r="A88" s="38">
        <v>2014</v>
      </c>
      <c r="B88" s="69">
        <f t="shared" si="2"/>
        <v>90.997571000000008</v>
      </c>
      <c r="C88" s="40">
        <v>47661787</v>
      </c>
      <c r="D88" s="35">
        <f t="shared" si="3"/>
        <v>1.9092354006785353</v>
      </c>
    </row>
    <row r="89" spans="1:4" x14ac:dyDescent="0.25">
      <c r="A89" s="37">
        <v>2015</v>
      </c>
      <c r="B89" s="69">
        <f t="shared" si="2"/>
        <v>84.490143000000003</v>
      </c>
      <c r="C89" s="39">
        <v>48203405</v>
      </c>
      <c r="D89" s="35">
        <f t="shared" si="3"/>
        <v>1.7527837089516811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92" t="s">
        <v>3</v>
      </c>
      <c r="B96" s="34" t="s">
        <v>123</v>
      </c>
      <c r="C96" s="34" t="s">
        <v>35</v>
      </c>
      <c r="D96" s="34" t="s">
        <v>38</v>
      </c>
    </row>
    <row r="97" spans="1:11" x14ac:dyDescent="0.25">
      <c r="A97" s="37">
        <v>1991</v>
      </c>
      <c r="B97" s="88">
        <f>B36</f>
        <v>802.80499999999995</v>
      </c>
      <c r="C97" s="39">
        <v>253620000</v>
      </c>
      <c r="D97" s="81">
        <f>(B97/C97)*1000</f>
        <v>3.1653852219856475E-3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88">
        <f t="shared" ref="B98:B121" si="4">B37</f>
        <v>812.29200000000003</v>
      </c>
      <c r="C98" s="40">
        <v>256516000</v>
      </c>
      <c r="D98" s="81">
        <f t="shared" ref="D98:D121" si="5">(B98/C98)*1000</f>
        <v>3.1666328806000408E-3</v>
      </c>
    </row>
    <row r="99" spans="1:11" x14ac:dyDescent="0.25">
      <c r="A99" s="37">
        <v>1993</v>
      </c>
      <c r="B99" s="88">
        <f t="shared" si="4"/>
        <v>925.322</v>
      </c>
      <c r="C99" s="39">
        <v>259131000</v>
      </c>
      <c r="D99" s="81">
        <f t="shared" si="5"/>
        <v>3.5708657011318599E-3</v>
      </c>
    </row>
    <row r="100" spans="1:11" x14ac:dyDescent="0.25">
      <c r="A100" s="38">
        <v>1994</v>
      </c>
      <c r="B100" s="88">
        <f t="shared" si="4"/>
        <v>1196.9010000000001</v>
      </c>
      <c r="C100" s="40">
        <v>264061000</v>
      </c>
      <c r="D100" s="81">
        <f t="shared" si="5"/>
        <v>4.5326685879399078E-3</v>
      </c>
    </row>
    <row r="101" spans="1:11" x14ac:dyDescent="0.25">
      <c r="A101" s="37">
        <v>1995</v>
      </c>
      <c r="B101" s="88">
        <f t="shared" si="4"/>
        <v>1228.4079999999999</v>
      </c>
      <c r="C101" s="39">
        <v>266398000</v>
      </c>
      <c r="D101" s="81">
        <f t="shared" si="5"/>
        <v>4.6111757595777743E-3</v>
      </c>
    </row>
    <row r="102" spans="1:11" x14ac:dyDescent="0.25">
      <c r="A102" s="38">
        <v>1996</v>
      </c>
      <c r="B102" s="88">
        <f t="shared" si="4"/>
        <v>1380.682</v>
      </c>
      <c r="C102" s="40">
        <v>268930000</v>
      </c>
      <c r="D102" s="81">
        <f t="shared" si="5"/>
        <v>5.1339828208083887E-3</v>
      </c>
    </row>
    <row r="103" spans="1:11" x14ac:dyDescent="0.25">
      <c r="A103" s="37">
        <v>1997</v>
      </c>
      <c r="B103" s="88">
        <f t="shared" si="4"/>
        <v>1515.021</v>
      </c>
      <c r="C103" s="39">
        <v>271387000</v>
      </c>
      <c r="D103" s="81">
        <f t="shared" si="5"/>
        <v>5.5825113214708144E-3</v>
      </c>
    </row>
    <row r="104" spans="1:11" x14ac:dyDescent="0.25">
      <c r="A104" s="38">
        <v>1998</v>
      </c>
      <c r="B104" s="88">
        <f t="shared" si="4"/>
        <v>2204.0390000000002</v>
      </c>
      <c r="C104" s="40">
        <v>271584000</v>
      </c>
      <c r="D104" s="81">
        <f t="shared" si="5"/>
        <v>8.1154964946388592E-3</v>
      </c>
    </row>
    <row r="105" spans="1:11" x14ac:dyDescent="0.25">
      <c r="A105" s="37">
        <v>1999</v>
      </c>
      <c r="B105" s="88">
        <f t="shared" si="4"/>
        <v>1092.951</v>
      </c>
      <c r="C105" s="39">
        <v>274024000</v>
      </c>
      <c r="D105" s="81">
        <f t="shared" si="5"/>
        <v>3.9885229031033772E-3</v>
      </c>
    </row>
    <row r="106" spans="1:11" x14ac:dyDescent="0.25">
      <c r="A106" s="38">
        <v>2000</v>
      </c>
      <c r="B106" s="88">
        <f t="shared" si="4"/>
        <v>1017.932</v>
      </c>
      <c r="C106" s="40">
        <v>284968955</v>
      </c>
      <c r="D106" s="81">
        <f t="shared" si="5"/>
        <v>3.5720803341542946E-3</v>
      </c>
    </row>
    <row r="107" spans="1:11" x14ac:dyDescent="0.25">
      <c r="A107" s="37">
        <v>2001</v>
      </c>
      <c r="B107" s="88">
        <f t="shared" si="4"/>
        <v>956.29399999999998</v>
      </c>
      <c r="C107" s="39">
        <v>287625193</v>
      </c>
      <c r="D107" s="81">
        <f t="shared" si="5"/>
        <v>3.3247922062237434E-3</v>
      </c>
    </row>
    <row r="108" spans="1:11" x14ac:dyDescent="0.25">
      <c r="A108" s="38">
        <v>2002</v>
      </c>
      <c r="B108" s="88">
        <f t="shared" si="4"/>
        <v>820.83399999999995</v>
      </c>
      <c r="C108" s="40">
        <v>290107933</v>
      </c>
      <c r="D108" s="81">
        <f t="shared" si="5"/>
        <v>2.8294090117142708E-3</v>
      </c>
    </row>
    <row r="109" spans="1:11" x14ac:dyDescent="0.25">
      <c r="A109" s="37">
        <v>2003</v>
      </c>
      <c r="B109" s="88">
        <f t="shared" si="4"/>
        <v>507.65699999999998</v>
      </c>
      <c r="C109" s="39">
        <v>292805298</v>
      </c>
      <c r="D109" s="81">
        <f t="shared" si="5"/>
        <v>1.7337698582216227E-3</v>
      </c>
    </row>
    <row r="110" spans="1:11" x14ac:dyDescent="0.25">
      <c r="A110" s="38">
        <v>2004</v>
      </c>
      <c r="B110" s="88">
        <f t="shared" si="4"/>
        <v>728.75400000000002</v>
      </c>
      <c r="C110" s="40">
        <v>295516599</v>
      </c>
      <c r="D110" s="81">
        <f t="shared" si="5"/>
        <v>2.4660340653148895E-3</v>
      </c>
    </row>
    <row r="111" spans="1:11" x14ac:dyDescent="0.25">
      <c r="A111" s="37">
        <v>2005</v>
      </c>
      <c r="B111" s="88">
        <f t="shared" si="4"/>
        <v>1047.9079999999999</v>
      </c>
      <c r="C111" s="39">
        <v>298379912</v>
      </c>
      <c r="D111" s="81">
        <f t="shared" si="5"/>
        <v>3.5119924561141367E-3</v>
      </c>
    </row>
    <row r="112" spans="1:11" x14ac:dyDescent="0.25">
      <c r="A112" s="38">
        <v>2006</v>
      </c>
      <c r="B112" s="88">
        <f t="shared" si="4"/>
        <v>1532.8219999999999</v>
      </c>
      <c r="C112" s="40">
        <v>301231207</v>
      </c>
      <c r="D112" s="81">
        <f t="shared" si="5"/>
        <v>5.0885232485225204E-3</v>
      </c>
    </row>
    <row r="113" spans="1:11" x14ac:dyDescent="0.25">
      <c r="A113" s="37">
        <v>2007</v>
      </c>
      <c r="B113" s="88">
        <f t="shared" si="4"/>
        <v>1467.0630000000001</v>
      </c>
      <c r="C113" s="39">
        <v>304093966</v>
      </c>
      <c r="D113" s="81">
        <f t="shared" si="5"/>
        <v>4.8243739239469162E-3</v>
      </c>
    </row>
    <row r="114" spans="1:11" x14ac:dyDescent="0.25">
      <c r="A114" s="38">
        <v>2008</v>
      </c>
      <c r="B114" s="88">
        <f t="shared" si="4"/>
        <v>2303.5450000000001</v>
      </c>
      <c r="C114" s="40">
        <v>306771529</v>
      </c>
      <c r="D114" s="81">
        <f t="shared" si="5"/>
        <v>7.5089921398800996E-3</v>
      </c>
    </row>
    <row r="115" spans="1:11" x14ac:dyDescent="0.25">
      <c r="A115" s="37">
        <v>2009</v>
      </c>
      <c r="B115" s="88">
        <f t="shared" si="4"/>
        <v>1612.6079999999999</v>
      </c>
      <c r="C115" s="39">
        <v>308745538</v>
      </c>
      <c r="D115" s="81">
        <f t="shared" si="5"/>
        <v>5.2230973456205863E-3</v>
      </c>
    </row>
    <row r="116" spans="1:11" x14ac:dyDescent="0.25">
      <c r="A116" s="38">
        <v>2010</v>
      </c>
      <c r="B116" s="88">
        <f t="shared" si="4"/>
        <v>2935.0540000000001</v>
      </c>
      <c r="C116" s="40">
        <v>309347057</v>
      </c>
      <c r="D116" s="81">
        <f t="shared" si="5"/>
        <v>9.4879001871351239E-3</v>
      </c>
    </row>
    <row r="117" spans="1:11" x14ac:dyDescent="0.25">
      <c r="A117" s="37">
        <v>2011</v>
      </c>
      <c r="B117" s="88">
        <f t="shared" si="4"/>
        <v>2265.7539999999999</v>
      </c>
      <c r="C117" s="39">
        <v>311721632</v>
      </c>
      <c r="D117" s="81">
        <f t="shared" si="5"/>
        <v>7.2685170594769628E-3</v>
      </c>
    </row>
    <row r="118" spans="1:11" x14ac:dyDescent="0.25">
      <c r="A118" s="38">
        <v>2012</v>
      </c>
      <c r="B118" s="88">
        <f t="shared" si="4"/>
        <v>2209.4899999999998</v>
      </c>
      <c r="C118" s="40">
        <v>314112078</v>
      </c>
      <c r="D118" s="81">
        <f t="shared" si="5"/>
        <v>7.0340816375739608E-3</v>
      </c>
    </row>
    <row r="119" spans="1:11" x14ac:dyDescent="0.25">
      <c r="A119" s="37">
        <v>2013</v>
      </c>
      <c r="B119" s="88">
        <f t="shared" si="4"/>
        <v>19122.162</v>
      </c>
      <c r="C119" s="39">
        <v>316497531</v>
      </c>
      <c r="D119" s="81">
        <f t="shared" si="5"/>
        <v>6.0418044777733194E-2</v>
      </c>
    </row>
    <row r="120" spans="1:11" x14ac:dyDescent="0.25">
      <c r="A120" s="38">
        <v>2014</v>
      </c>
      <c r="B120" s="88">
        <f t="shared" si="4"/>
        <v>11780.574000000001</v>
      </c>
      <c r="C120" s="40">
        <v>318857056</v>
      </c>
      <c r="D120" s="81">
        <f t="shared" si="5"/>
        <v>3.6946254687868663E-2</v>
      </c>
    </row>
    <row r="121" spans="1:11" x14ac:dyDescent="0.25">
      <c r="A121" s="37">
        <v>2015</v>
      </c>
      <c r="B121" s="88">
        <f t="shared" si="4"/>
        <v>15830.123</v>
      </c>
      <c r="C121" s="39">
        <v>321418820</v>
      </c>
      <c r="D121" s="81">
        <f t="shared" si="5"/>
        <v>4.9250765714341178E-2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</row>
    <row r="126" spans="1:11" ht="60" x14ac:dyDescent="0.25">
      <c r="A126" s="92" t="s">
        <v>3</v>
      </c>
      <c r="B126" s="34" t="s">
        <v>16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>
        <f>B6</f>
        <v>63.441144000000001</v>
      </c>
      <c r="C127" s="39">
        <v>253620000</v>
      </c>
      <c r="D127" s="81">
        <f>(B127*1000000/C127)</f>
        <v>0.25014251242015612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69">
        <f t="shared" ref="B128:B151" si="6">B7</f>
        <v>48.238895999999997</v>
      </c>
      <c r="C128" s="40">
        <v>256516000</v>
      </c>
      <c r="D128" s="81">
        <f t="shared" ref="D128:D151" si="7">(B128*1000000/C128)</f>
        <v>0.18805414087230427</v>
      </c>
    </row>
    <row r="129" spans="1:4" x14ac:dyDescent="0.25">
      <c r="A129" s="37">
        <v>1993</v>
      </c>
      <c r="B129" s="69">
        <f t="shared" si="6"/>
        <v>63.864524000000003</v>
      </c>
      <c r="C129" s="39">
        <v>259131000</v>
      </c>
      <c r="D129" s="81">
        <f t="shared" si="7"/>
        <v>0.24645651813175576</v>
      </c>
    </row>
    <row r="130" spans="1:4" x14ac:dyDescent="0.25">
      <c r="A130" s="38">
        <v>1994</v>
      </c>
      <c r="B130" s="69">
        <f t="shared" si="6"/>
        <v>84.264263999999997</v>
      </c>
      <c r="C130" s="40">
        <v>264061000</v>
      </c>
      <c r="D130" s="81">
        <f t="shared" si="7"/>
        <v>0.31910908464332105</v>
      </c>
    </row>
    <row r="131" spans="1:4" x14ac:dyDescent="0.25">
      <c r="A131" s="37">
        <v>1995</v>
      </c>
      <c r="B131" s="69">
        <f t="shared" si="6"/>
        <v>86.595408000000006</v>
      </c>
      <c r="C131" s="39">
        <v>266398000</v>
      </c>
      <c r="D131" s="81">
        <f t="shared" si="7"/>
        <v>0.32506027823031702</v>
      </c>
    </row>
    <row r="132" spans="1:4" x14ac:dyDescent="0.25">
      <c r="A132" s="38">
        <v>1996</v>
      </c>
      <c r="B132" s="69">
        <f t="shared" si="6"/>
        <v>73.860624000000001</v>
      </c>
      <c r="C132" s="40">
        <v>268930000</v>
      </c>
      <c r="D132" s="81">
        <f t="shared" si="7"/>
        <v>0.27464627970103744</v>
      </c>
    </row>
    <row r="133" spans="1:4" x14ac:dyDescent="0.25">
      <c r="A133" s="37">
        <v>1997</v>
      </c>
      <c r="B133" s="69">
        <f t="shared" si="6"/>
        <v>66.271575999999996</v>
      </c>
      <c r="C133" s="39">
        <v>271387000</v>
      </c>
      <c r="D133" s="81">
        <f t="shared" si="7"/>
        <v>0.244195838415252</v>
      </c>
    </row>
    <row r="134" spans="1:4" x14ac:dyDescent="0.25">
      <c r="A134" s="38">
        <v>1998</v>
      </c>
      <c r="B134" s="69">
        <f t="shared" si="6"/>
        <v>40.257060000000003</v>
      </c>
      <c r="C134" s="40">
        <v>271584000</v>
      </c>
      <c r="D134" s="81">
        <f t="shared" si="7"/>
        <v>0.14823060268646165</v>
      </c>
    </row>
    <row r="135" spans="1:4" x14ac:dyDescent="0.25">
      <c r="A135" s="37">
        <v>1999</v>
      </c>
      <c r="B135" s="69">
        <f t="shared" si="6"/>
        <v>50.189104</v>
      </c>
      <c r="C135" s="39">
        <v>274024000</v>
      </c>
      <c r="D135" s="81">
        <f t="shared" si="7"/>
        <v>0.18315586955887075</v>
      </c>
    </row>
    <row r="136" spans="1:4" x14ac:dyDescent="0.25">
      <c r="A136" s="38">
        <v>2000</v>
      </c>
      <c r="B136" s="69">
        <f t="shared" si="6"/>
        <v>46.924646000000003</v>
      </c>
      <c r="C136" s="40">
        <v>284968955</v>
      </c>
      <c r="D136" s="81">
        <f t="shared" si="7"/>
        <v>0.16466581772038993</v>
      </c>
    </row>
    <row r="137" spans="1:4" x14ac:dyDescent="0.25">
      <c r="A137" s="37">
        <v>2001</v>
      </c>
      <c r="B137" s="69">
        <f t="shared" si="6"/>
        <v>45.705840000000002</v>
      </c>
      <c r="C137" s="39">
        <v>287625193</v>
      </c>
      <c r="D137" s="81">
        <f t="shared" si="7"/>
        <v>0.15890763782990316</v>
      </c>
    </row>
    <row r="138" spans="1:4" x14ac:dyDescent="0.25">
      <c r="A138" s="38">
        <v>2002</v>
      </c>
      <c r="B138" s="69">
        <f t="shared" si="6"/>
        <v>40.696807</v>
      </c>
      <c r="C138" s="40">
        <v>290107933</v>
      </c>
      <c r="D138" s="81">
        <f t="shared" si="7"/>
        <v>0.14028160684595964</v>
      </c>
    </row>
    <row r="139" spans="1:4" x14ac:dyDescent="0.25">
      <c r="A139" s="37">
        <v>2003</v>
      </c>
      <c r="B139" s="69">
        <f t="shared" si="6"/>
        <v>32.985366999999997</v>
      </c>
      <c r="C139" s="39">
        <v>292805298</v>
      </c>
      <c r="D139" s="81">
        <f t="shared" si="7"/>
        <v>0.11265290356870522</v>
      </c>
    </row>
    <row r="140" spans="1:4" x14ac:dyDescent="0.25">
      <c r="A140" s="38">
        <v>2004</v>
      </c>
      <c r="B140" s="69">
        <f t="shared" si="6"/>
        <v>31.343896999999998</v>
      </c>
      <c r="C140" s="40">
        <v>295516599</v>
      </c>
      <c r="D140" s="81">
        <f t="shared" si="7"/>
        <v>0.10606475949596321</v>
      </c>
    </row>
    <row r="141" spans="1:4" x14ac:dyDescent="0.25">
      <c r="A141" s="37">
        <v>2005</v>
      </c>
      <c r="B141" s="69">
        <f t="shared" si="6"/>
        <v>31.474772999999999</v>
      </c>
      <c r="C141" s="39">
        <v>298379912</v>
      </c>
      <c r="D141" s="81">
        <f t="shared" si="7"/>
        <v>0.10548556298253751</v>
      </c>
    </row>
    <row r="142" spans="1:4" x14ac:dyDescent="0.25">
      <c r="A142" s="38">
        <v>2006</v>
      </c>
      <c r="B142" s="69">
        <f t="shared" si="6"/>
        <v>27.746327999999998</v>
      </c>
      <c r="C142" s="40">
        <v>301231207</v>
      </c>
      <c r="D142" s="81">
        <f t="shared" si="7"/>
        <v>9.2109739479947036E-2</v>
      </c>
    </row>
    <row r="143" spans="1:4" x14ac:dyDescent="0.25">
      <c r="A143" s="37">
        <v>2007</v>
      </c>
      <c r="B143" s="69">
        <f t="shared" si="6"/>
        <v>18.709197</v>
      </c>
      <c r="C143" s="39">
        <v>304093966</v>
      </c>
      <c r="D143" s="81">
        <f t="shared" si="7"/>
        <v>6.1524394074955108E-2</v>
      </c>
    </row>
    <row r="144" spans="1:4" x14ac:dyDescent="0.25">
      <c r="A144" s="38">
        <v>2008</v>
      </c>
      <c r="B144" s="69">
        <f t="shared" si="6"/>
        <v>26.364070000000002</v>
      </c>
      <c r="C144" s="40">
        <v>306771529</v>
      </c>
      <c r="D144" s="81">
        <f t="shared" si="7"/>
        <v>8.5940406810046568E-2</v>
      </c>
    </row>
    <row r="145" spans="1:10" x14ac:dyDescent="0.25">
      <c r="A145" s="37">
        <v>2009</v>
      </c>
      <c r="B145" s="69">
        <f t="shared" si="6"/>
        <v>31.324175</v>
      </c>
      <c r="C145" s="39">
        <v>308745538</v>
      </c>
      <c r="D145" s="81">
        <f t="shared" si="7"/>
        <v>0.10145628404190897</v>
      </c>
    </row>
    <row r="146" spans="1:10" x14ac:dyDescent="0.25">
      <c r="A146" s="38">
        <v>2010</v>
      </c>
      <c r="B146" s="69">
        <f t="shared" si="6"/>
        <v>49.722799000000002</v>
      </c>
      <c r="C146" s="40">
        <v>309347057</v>
      </c>
      <c r="D146" s="81">
        <f t="shared" si="7"/>
        <v>0.1607346760696676</v>
      </c>
    </row>
    <row r="147" spans="1:10" x14ac:dyDescent="0.25">
      <c r="A147" s="37">
        <v>2011</v>
      </c>
      <c r="B147" s="69">
        <f t="shared" si="6"/>
        <v>52.138390999999999</v>
      </c>
      <c r="C147" s="39">
        <v>311721632</v>
      </c>
      <c r="D147" s="81">
        <f t="shared" si="7"/>
        <v>0.16725945730965505</v>
      </c>
    </row>
    <row r="148" spans="1:10" x14ac:dyDescent="0.25">
      <c r="A148" s="38">
        <v>2012</v>
      </c>
      <c r="B148" s="69">
        <f t="shared" si="6"/>
        <v>70.997045</v>
      </c>
      <c r="C148" s="40">
        <v>314112078</v>
      </c>
      <c r="D148" s="81">
        <f t="shared" si="7"/>
        <v>0.22602456248116637</v>
      </c>
    </row>
    <row r="149" spans="1:10" x14ac:dyDescent="0.25">
      <c r="A149" s="37">
        <v>2013</v>
      </c>
      <c r="B149" s="69">
        <f t="shared" si="6"/>
        <v>62.781016999999999</v>
      </c>
      <c r="C149" s="39">
        <v>316497531</v>
      </c>
      <c r="D149" s="81">
        <f t="shared" si="7"/>
        <v>0.19836179069592805</v>
      </c>
    </row>
    <row r="150" spans="1:10" x14ac:dyDescent="0.25">
      <c r="A150" s="38">
        <v>2014</v>
      </c>
      <c r="B150" s="69">
        <f t="shared" si="6"/>
        <v>79.216997000000006</v>
      </c>
      <c r="C150" s="40">
        <v>318857056</v>
      </c>
      <c r="D150" s="81">
        <f t="shared" si="7"/>
        <v>0.24844047045331813</v>
      </c>
    </row>
    <row r="151" spans="1:10" x14ac:dyDescent="0.25">
      <c r="A151" s="37">
        <v>2015</v>
      </c>
      <c r="B151" s="69">
        <f t="shared" si="6"/>
        <v>68.660020000000003</v>
      </c>
      <c r="C151" s="39">
        <v>321418820</v>
      </c>
      <c r="D151" s="81">
        <f t="shared" si="7"/>
        <v>0.21361543172860881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92" t="s">
        <v>3</v>
      </c>
      <c r="B155" s="34" t="s">
        <v>67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88">
        <f>B65</f>
        <v>64.243949000000001</v>
      </c>
      <c r="C156" s="39">
        <v>253620000</v>
      </c>
      <c r="D156" s="81">
        <f>(B156/C156)*1000000</f>
        <v>0.25330789764214179</v>
      </c>
    </row>
    <row r="157" spans="1:10" x14ac:dyDescent="0.25">
      <c r="A157" s="38">
        <v>1992</v>
      </c>
      <c r="B157" s="88">
        <f t="shared" ref="B157:B180" si="8">B66</f>
        <v>49.051187999999996</v>
      </c>
      <c r="C157" s="40">
        <v>256516000</v>
      </c>
      <c r="D157" s="81">
        <f t="shared" ref="D157:D180" si="9">(B157/C157)*1000000</f>
        <v>0.19122077375290428</v>
      </c>
    </row>
    <row r="158" spans="1:10" x14ac:dyDescent="0.25">
      <c r="A158" s="37">
        <v>1993</v>
      </c>
      <c r="B158" s="88">
        <f t="shared" si="8"/>
        <v>64.789845999999997</v>
      </c>
      <c r="C158" s="39">
        <v>259131000</v>
      </c>
      <c r="D158" s="81">
        <f t="shared" si="9"/>
        <v>0.25002738383288758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88">
        <f t="shared" si="8"/>
        <v>85.461164999999994</v>
      </c>
      <c r="C159" s="40">
        <v>264061000</v>
      </c>
      <c r="D159" s="81">
        <f t="shared" si="9"/>
        <v>0.32364175323126093</v>
      </c>
    </row>
    <row r="160" spans="1:10" x14ac:dyDescent="0.25">
      <c r="A160" s="37">
        <v>1995</v>
      </c>
      <c r="B160" s="88">
        <f t="shared" si="8"/>
        <v>87.823816000000008</v>
      </c>
      <c r="C160" s="39">
        <v>266398000</v>
      </c>
      <c r="D160" s="81">
        <f t="shared" si="9"/>
        <v>0.32967145398989484</v>
      </c>
    </row>
    <row r="161" spans="1:4" x14ac:dyDescent="0.25">
      <c r="A161" s="38">
        <v>1996</v>
      </c>
      <c r="B161" s="88">
        <f t="shared" si="8"/>
        <v>75.241305999999994</v>
      </c>
      <c r="C161" s="40">
        <v>268930000</v>
      </c>
      <c r="D161" s="81">
        <f t="shared" si="9"/>
        <v>0.27978026252184579</v>
      </c>
    </row>
    <row r="162" spans="1:4" x14ac:dyDescent="0.25">
      <c r="A162" s="37">
        <v>1997</v>
      </c>
      <c r="B162" s="88">
        <f t="shared" si="8"/>
        <v>67.786597</v>
      </c>
      <c r="C162" s="39">
        <v>271387000</v>
      </c>
      <c r="D162" s="81">
        <f t="shared" si="9"/>
        <v>0.24977834973672283</v>
      </c>
    </row>
    <row r="163" spans="1:4" x14ac:dyDescent="0.25">
      <c r="A163" s="38">
        <v>1998</v>
      </c>
      <c r="B163" s="88">
        <f t="shared" si="8"/>
        <v>42.461099000000004</v>
      </c>
      <c r="C163" s="40">
        <v>271584000</v>
      </c>
      <c r="D163" s="81">
        <f t="shared" si="9"/>
        <v>0.15634609918110051</v>
      </c>
    </row>
    <row r="164" spans="1:4" x14ac:dyDescent="0.25">
      <c r="A164" s="37">
        <v>1999</v>
      </c>
      <c r="B164" s="88">
        <f t="shared" si="8"/>
        <v>51.282055</v>
      </c>
      <c r="C164" s="39">
        <v>274024000</v>
      </c>
      <c r="D164" s="81">
        <f t="shared" si="9"/>
        <v>0.18714439246197415</v>
      </c>
    </row>
    <row r="165" spans="1:4" x14ac:dyDescent="0.25">
      <c r="A165" s="38">
        <v>2000</v>
      </c>
      <c r="B165" s="88">
        <f t="shared" si="8"/>
        <v>47.942578000000005</v>
      </c>
      <c r="C165" s="40">
        <v>284968955</v>
      </c>
      <c r="D165" s="81">
        <f t="shared" si="9"/>
        <v>0.16823789805454423</v>
      </c>
    </row>
    <row r="166" spans="1:4" x14ac:dyDescent="0.25">
      <c r="A166" s="37">
        <v>2001</v>
      </c>
      <c r="B166" s="88">
        <f t="shared" si="8"/>
        <v>46.662134000000002</v>
      </c>
      <c r="C166" s="39">
        <v>287625193</v>
      </c>
      <c r="D166" s="81">
        <f t="shared" si="9"/>
        <v>0.16223243003612692</v>
      </c>
    </row>
    <row r="167" spans="1:4" x14ac:dyDescent="0.25">
      <c r="A167" s="38">
        <v>2002</v>
      </c>
      <c r="B167" s="88">
        <f t="shared" si="8"/>
        <v>41.517640999999998</v>
      </c>
      <c r="C167" s="40">
        <v>290107933</v>
      </c>
      <c r="D167" s="81">
        <f t="shared" si="9"/>
        <v>0.14311101585767388</v>
      </c>
    </row>
    <row r="168" spans="1:4" x14ac:dyDescent="0.25">
      <c r="A168" s="37">
        <v>2003</v>
      </c>
      <c r="B168" s="88">
        <f t="shared" si="8"/>
        <v>33.493023999999998</v>
      </c>
      <c r="C168" s="39">
        <v>292805298</v>
      </c>
      <c r="D168" s="81">
        <f t="shared" si="9"/>
        <v>0.11438667342692685</v>
      </c>
    </row>
    <row r="169" spans="1:4" x14ac:dyDescent="0.25">
      <c r="A169" s="38">
        <v>2004</v>
      </c>
      <c r="B169" s="88">
        <f t="shared" si="8"/>
        <v>32.072651</v>
      </c>
      <c r="C169" s="40">
        <v>295516599</v>
      </c>
      <c r="D169" s="81">
        <f t="shared" si="9"/>
        <v>0.10853079356127809</v>
      </c>
    </row>
    <row r="170" spans="1:4" x14ac:dyDescent="0.25">
      <c r="A170" s="37">
        <v>2005</v>
      </c>
      <c r="B170" s="88">
        <f t="shared" si="8"/>
        <v>32.522680999999999</v>
      </c>
      <c r="C170" s="39">
        <v>298379912</v>
      </c>
      <c r="D170" s="81">
        <f t="shared" si="9"/>
        <v>0.10899755543865164</v>
      </c>
    </row>
    <row r="171" spans="1:4" x14ac:dyDescent="0.25">
      <c r="A171" s="38">
        <v>2006</v>
      </c>
      <c r="B171" s="88">
        <f t="shared" si="8"/>
        <v>29.279149999999998</v>
      </c>
      <c r="C171" s="40">
        <v>301231207</v>
      </c>
      <c r="D171" s="81">
        <f t="shared" si="9"/>
        <v>9.7198262728469556E-2</v>
      </c>
    </row>
    <row r="172" spans="1:4" x14ac:dyDescent="0.25">
      <c r="A172" s="37">
        <v>2007</v>
      </c>
      <c r="B172" s="88">
        <f t="shared" si="8"/>
        <v>20.176259999999999</v>
      </c>
      <c r="C172" s="39">
        <v>304093966</v>
      </c>
      <c r="D172" s="81">
        <f t="shared" si="9"/>
        <v>6.634876799890202E-2</v>
      </c>
    </row>
    <row r="173" spans="1:4" x14ac:dyDescent="0.25">
      <c r="A173" s="38">
        <v>2008</v>
      </c>
      <c r="B173" s="88">
        <f t="shared" si="8"/>
        <v>28.667615000000001</v>
      </c>
      <c r="C173" s="40">
        <v>306771529</v>
      </c>
      <c r="D173" s="81">
        <f t="shared" si="9"/>
        <v>9.3449398949926682E-2</v>
      </c>
    </row>
    <row r="174" spans="1:4" x14ac:dyDescent="0.25">
      <c r="A174" s="37">
        <v>2009</v>
      </c>
      <c r="B174" s="88">
        <f t="shared" si="8"/>
        <v>32.936782999999998</v>
      </c>
      <c r="C174" s="39">
        <v>308745538</v>
      </c>
      <c r="D174" s="81">
        <f t="shared" si="9"/>
        <v>0.10667938138752955</v>
      </c>
    </row>
    <row r="175" spans="1:4" x14ac:dyDescent="0.25">
      <c r="A175" s="38">
        <v>2010</v>
      </c>
      <c r="B175" s="88">
        <f t="shared" si="8"/>
        <v>52.657853000000003</v>
      </c>
      <c r="C175" s="40">
        <v>309347057</v>
      </c>
      <c r="D175" s="81">
        <f t="shared" si="9"/>
        <v>0.17022257625680273</v>
      </c>
    </row>
    <row r="176" spans="1:4" x14ac:dyDescent="0.25">
      <c r="A176" s="37">
        <v>2011</v>
      </c>
      <c r="B176" s="88">
        <f t="shared" si="8"/>
        <v>54.404145</v>
      </c>
      <c r="C176" s="39">
        <v>311721632</v>
      </c>
      <c r="D176" s="81">
        <f t="shared" si="9"/>
        <v>0.17452797436913201</v>
      </c>
    </row>
    <row r="177" spans="1:4" x14ac:dyDescent="0.25">
      <c r="A177" s="38">
        <v>2012</v>
      </c>
      <c r="B177" s="88">
        <f t="shared" si="8"/>
        <v>73.206535000000002</v>
      </c>
      <c r="C177" s="40">
        <v>314112078</v>
      </c>
      <c r="D177" s="81">
        <f t="shared" si="9"/>
        <v>0.23305864411874033</v>
      </c>
    </row>
    <row r="178" spans="1:4" x14ac:dyDescent="0.25">
      <c r="A178" s="37">
        <v>2013</v>
      </c>
      <c r="B178" s="88">
        <f t="shared" si="8"/>
        <v>81.903178999999994</v>
      </c>
      <c r="C178" s="39">
        <v>316497531</v>
      </c>
      <c r="D178" s="81">
        <f t="shared" si="9"/>
        <v>0.25877983547366123</v>
      </c>
    </row>
    <row r="179" spans="1:4" x14ac:dyDescent="0.25">
      <c r="A179" s="38">
        <v>2014</v>
      </c>
      <c r="B179" s="88">
        <f t="shared" si="8"/>
        <v>90.997571000000008</v>
      </c>
      <c r="C179" s="40">
        <v>318857056</v>
      </c>
      <c r="D179" s="81">
        <f t="shared" si="9"/>
        <v>0.28538672514118679</v>
      </c>
    </row>
    <row r="180" spans="1:4" x14ac:dyDescent="0.25">
      <c r="A180" s="37">
        <v>2015</v>
      </c>
      <c r="B180" s="88">
        <f t="shared" si="8"/>
        <v>84.490143000000003</v>
      </c>
      <c r="C180" s="39">
        <v>321418820</v>
      </c>
      <c r="D180" s="81">
        <f t="shared" si="9"/>
        <v>0.26286619744294998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topLeftCell="A64" zoomScale="110" zoomScaleNormal="110" workbookViewId="0">
      <selection activeCell="C69" sqref="C69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  <col min="12" max="12" width="12.28515625" bestFit="1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13</v>
      </c>
      <c r="D5" s="13" t="s">
        <v>14</v>
      </c>
      <c r="E5" s="14" t="s">
        <v>4</v>
      </c>
    </row>
    <row r="6" spans="2:12" x14ac:dyDescent="0.25">
      <c r="B6" s="10">
        <v>1991</v>
      </c>
      <c r="C6" s="69">
        <f>'Export 03'!B2</f>
        <v>63.441144000000001</v>
      </c>
      <c r="D6" s="2">
        <v>30.88664</v>
      </c>
      <c r="E6" s="64">
        <f t="shared" ref="E6:E30" si="0">(C6/D6)/100000000000</f>
        <v>2.053999528598773E-11</v>
      </c>
    </row>
    <row r="7" spans="2:12" x14ac:dyDescent="0.25">
      <c r="B7" s="10">
        <v>1992</v>
      </c>
      <c r="C7" s="69">
        <f>'Export 03'!B3</f>
        <v>48.238895999999997</v>
      </c>
      <c r="D7" s="2">
        <v>36.748779999999996</v>
      </c>
      <c r="E7" s="64">
        <f t="shared" si="0"/>
        <v>1.3126665973673139E-11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69">
        <f>'Export 03'!B4</f>
        <v>63.864524000000003</v>
      </c>
      <c r="D8" s="2">
        <v>54.163779999999996</v>
      </c>
      <c r="E8" s="64">
        <f t="shared" si="0"/>
        <v>1.1791002031246714E-11</v>
      </c>
    </row>
    <row r="9" spans="2:12" x14ac:dyDescent="0.25">
      <c r="B9" s="10">
        <v>1994</v>
      </c>
      <c r="C9" s="69">
        <f>'Export 03'!B5</f>
        <v>84.264263999999997</v>
      </c>
      <c r="D9" s="2">
        <v>82.613830000000007</v>
      </c>
      <c r="E9" s="64">
        <f t="shared" si="0"/>
        <v>1.0199776962283433E-11</v>
      </c>
    </row>
    <row r="10" spans="2:12" x14ac:dyDescent="0.25">
      <c r="B10" s="10">
        <v>1995</v>
      </c>
      <c r="C10" s="69">
        <f>'Export 03'!B6</f>
        <v>86.595408000000006</v>
      </c>
      <c r="D10" s="2">
        <v>97.478279999999998</v>
      </c>
      <c r="E10" s="64">
        <f t="shared" si="0"/>
        <v>8.8835592913621379E-12</v>
      </c>
    </row>
    <row r="11" spans="2:12" x14ac:dyDescent="0.25">
      <c r="B11" s="10">
        <v>1996</v>
      </c>
      <c r="C11" s="69">
        <f>'Export 03'!B7</f>
        <v>73.860624000000001</v>
      </c>
      <c r="D11" s="2">
        <v>137.40472</v>
      </c>
      <c r="E11" s="64">
        <f t="shared" si="0"/>
        <v>5.3754066090306075E-12</v>
      </c>
    </row>
    <row r="12" spans="2:12" x14ac:dyDescent="0.25">
      <c r="B12" s="10">
        <v>1997</v>
      </c>
      <c r="C12" s="69">
        <f>'Export 03'!B8</f>
        <v>66.271575999999996</v>
      </c>
      <c r="D12" s="2">
        <v>168.40043</v>
      </c>
      <c r="E12" s="64">
        <f t="shared" si="0"/>
        <v>3.935356697129573E-12</v>
      </c>
    </row>
    <row r="13" spans="2:12" x14ac:dyDescent="0.25">
      <c r="B13" s="10">
        <v>1998</v>
      </c>
      <c r="C13" s="69">
        <f>'Export 03'!B9</f>
        <v>40.257060000000003</v>
      </c>
      <c r="D13" s="2">
        <v>184.64424</v>
      </c>
      <c r="E13" s="64">
        <f t="shared" si="0"/>
        <v>2.1802499769286064E-12</v>
      </c>
    </row>
    <row r="14" spans="2:12" x14ac:dyDescent="0.25">
      <c r="B14" s="10">
        <v>1999</v>
      </c>
      <c r="C14" s="69">
        <f>'Export 03'!B10</f>
        <v>50.189104</v>
      </c>
      <c r="D14" s="2">
        <v>182.49723999999998</v>
      </c>
      <c r="E14" s="64">
        <f t="shared" si="0"/>
        <v>2.75012948141024E-12</v>
      </c>
    </row>
    <row r="15" spans="2:12" x14ac:dyDescent="0.25">
      <c r="B15" s="10">
        <v>2000</v>
      </c>
      <c r="C15" s="69">
        <f>'Export 03'!B11</f>
        <v>46.924646000000003</v>
      </c>
      <c r="D15" s="2">
        <v>173.83799999999999</v>
      </c>
      <c r="E15" s="64">
        <f t="shared" si="0"/>
        <v>2.6993319067177489E-12</v>
      </c>
    </row>
    <row r="16" spans="2:12" x14ac:dyDescent="0.25">
      <c r="B16" s="10">
        <v>2001</v>
      </c>
      <c r="C16" s="69">
        <f>'Export 03'!B12</f>
        <v>45.705840000000002</v>
      </c>
      <c r="D16" s="2">
        <v>169.57254999999998</v>
      </c>
      <c r="E16" s="64">
        <f t="shared" si="0"/>
        <v>2.6953560585130089E-12</v>
      </c>
    </row>
    <row r="17" spans="2:5" x14ac:dyDescent="0.25">
      <c r="B17" s="10">
        <v>2002</v>
      </c>
      <c r="C17" s="69">
        <f>'Export 03'!B13</f>
        <v>40.696807</v>
      </c>
      <c r="D17" s="2">
        <v>193.08387999999999</v>
      </c>
      <c r="E17" s="64">
        <f t="shared" si="0"/>
        <v>2.1077268076444289E-12</v>
      </c>
    </row>
    <row r="18" spans="2:5" x14ac:dyDescent="0.25">
      <c r="B18" s="10">
        <v>2003</v>
      </c>
      <c r="C18" s="69">
        <f>'Export 03'!B14</f>
        <v>32.985366999999997</v>
      </c>
      <c r="D18" s="2">
        <v>203.78914</v>
      </c>
      <c r="E18" s="64">
        <f t="shared" si="0"/>
        <v>1.618602787175018E-12</v>
      </c>
    </row>
    <row r="19" spans="2:5" x14ac:dyDescent="0.25">
      <c r="B19" s="10">
        <v>2004</v>
      </c>
      <c r="C19" s="69">
        <f>'Export 03'!B15</f>
        <v>31.343896999999998</v>
      </c>
      <c r="D19" s="2">
        <v>220.41551999999999</v>
      </c>
      <c r="E19" s="64">
        <f t="shared" si="0"/>
        <v>1.4220367513140637E-12</v>
      </c>
    </row>
    <row r="20" spans="2:5" x14ac:dyDescent="0.25">
      <c r="B20" s="10">
        <v>2005</v>
      </c>
      <c r="C20" s="69">
        <f>'Export 03'!B16</f>
        <v>31.474772999999999</v>
      </c>
      <c r="D20" s="2">
        <v>255.02369000000002</v>
      </c>
      <c r="E20" s="64">
        <f t="shared" si="0"/>
        <v>1.234190164843117E-12</v>
      </c>
    </row>
    <row r="21" spans="2:5" x14ac:dyDescent="0.25">
      <c r="B21" s="10">
        <v>2006</v>
      </c>
      <c r="C21" s="69">
        <f>'Export 03'!B17</f>
        <v>27.746327999999998</v>
      </c>
      <c r="D21" s="2">
        <v>289.62955999999997</v>
      </c>
      <c r="E21" s="64">
        <f t="shared" si="0"/>
        <v>9.5799365230537935E-13</v>
      </c>
    </row>
    <row r="22" spans="2:5" x14ac:dyDescent="0.25">
      <c r="B22" s="10">
        <v>2007</v>
      </c>
      <c r="C22" s="69">
        <f>'Export 03'!B18</f>
        <v>18.709197</v>
      </c>
      <c r="D22" s="2">
        <v>315.86653999999999</v>
      </c>
      <c r="E22" s="64">
        <f t="shared" si="0"/>
        <v>5.9231335487449865E-13</v>
      </c>
    </row>
    <row r="23" spans="2:5" x14ac:dyDescent="0.25">
      <c r="B23" s="10">
        <v>2008</v>
      </c>
      <c r="C23" s="69">
        <f>'Export 03'!B19</f>
        <v>26.364070000000002</v>
      </c>
      <c r="D23" s="2">
        <v>356.99453000000005</v>
      </c>
      <c r="E23" s="64">
        <f t="shared" si="0"/>
        <v>7.3850067114473716E-13</v>
      </c>
    </row>
    <row r="24" spans="2:5" x14ac:dyDescent="0.25">
      <c r="B24" s="10">
        <v>2009</v>
      </c>
      <c r="C24" s="69">
        <f>'Export 03'!B20</f>
        <v>31.324175</v>
      </c>
      <c r="D24" s="2">
        <v>413.96373999999997</v>
      </c>
      <c r="E24" s="64">
        <f t="shared" si="0"/>
        <v>7.5668885878748702E-13</v>
      </c>
    </row>
    <row r="25" spans="2:5" x14ac:dyDescent="0.25">
      <c r="B25" s="10">
        <v>2010</v>
      </c>
      <c r="C25" s="69">
        <f>'Export 03'!B21</f>
        <v>49.722799000000002</v>
      </c>
      <c r="D25" s="2">
        <v>476.72912000000002</v>
      </c>
      <c r="E25" s="64">
        <f t="shared" si="0"/>
        <v>1.042998988608038E-12</v>
      </c>
    </row>
    <row r="26" spans="2:5" x14ac:dyDescent="0.25">
      <c r="B26" s="10">
        <v>2011</v>
      </c>
      <c r="C26" s="69">
        <f>'Export 03'!B22</f>
        <v>52.138390999999999</v>
      </c>
      <c r="D26" s="2">
        <v>449.90528999999998</v>
      </c>
      <c r="E26" s="64">
        <f t="shared" si="0"/>
        <v>1.1588748156306408E-12</v>
      </c>
    </row>
    <row r="27" spans="2:5" x14ac:dyDescent="0.25">
      <c r="B27" s="10">
        <v>2012</v>
      </c>
      <c r="C27" s="69">
        <f>'Export 03'!B23</f>
        <v>70.997045</v>
      </c>
      <c r="D27" s="2">
        <v>494.70812999999998</v>
      </c>
      <c r="E27" s="64">
        <f t="shared" si="0"/>
        <v>1.4351299421741867E-12</v>
      </c>
    </row>
    <row r="28" spans="2:5" x14ac:dyDescent="0.25">
      <c r="B28" s="10">
        <v>2013</v>
      </c>
      <c r="C28" s="69">
        <f>'Export 03'!B24</f>
        <v>62.781016999999999</v>
      </c>
      <c r="D28" s="2">
        <v>585.44633999999996</v>
      </c>
      <c r="E28" s="64">
        <f t="shared" si="0"/>
        <v>1.072361593378481E-12</v>
      </c>
    </row>
    <row r="29" spans="2:5" x14ac:dyDescent="0.25">
      <c r="B29" s="10">
        <v>2014</v>
      </c>
      <c r="C29" s="69">
        <f>'Export 03'!B25</f>
        <v>79.216997000000006</v>
      </c>
      <c r="D29" s="2">
        <v>607.30944999999997</v>
      </c>
      <c r="E29" s="64">
        <f t="shared" si="0"/>
        <v>1.3043926288319737E-12</v>
      </c>
    </row>
    <row r="30" spans="2:5" x14ac:dyDescent="0.25">
      <c r="B30" s="11">
        <v>2015</v>
      </c>
      <c r="C30" s="69">
        <f>'Export 03'!B26</f>
        <v>68.660020000000003</v>
      </c>
      <c r="D30" s="2">
        <v>645.33130000000006</v>
      </c>
      <c r="E30" s="64">
        <f t="shared" si="0"/>
        <v>1.0639499432307096E-12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</row>
    <row r="36" spans="2:12" ht="60" x14ac:dyDescent="0.25">
      <c r="B36" s="12" t="s">
        <v>3</v>
      </c>
      <c r="C36" s="13" t="s">
        <v>130</v>
      </c>
      <c r="D36" s="13" t="s">
        <v>14</v>
      </c>
      <c r="E36" s="14" t="s">
        <v>81</v>
      </c>
    </row>
    <row r="37" spans="2:12" x14ac:dyDescent="0.25">
      <c r="B37" s="10">
        <v>1991</v>
      </c>
      <c r="C37" s="88">
        <f>'Import 03'!B2</f>
        <v>802.80499999999995</v>
      </c>
      <c r="D37" s="2">
        <v>30.88664</v>
      </c>
      <c r="E37" s="41">
        <f t="shared" ref="E37:E61" si="1">(C37/D37)/1000000000</f>
        <v>2.5991982293962695E-8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88">
        <f>'Import 03'!B3</f>
        <v>812.29200000000003</v>
      </c>
      <c r="D38" s="2">
        <v>36.748779999999996</v>
      </c>
      <c r="E38" s="41">
        <f t="shared" si="1"/>
        <v>2.2103917463382464E-8</v>
      </c>
    </row>
    <row r="39" spans="2:12" x14ac:dyDescent="0.25">
      <c r="B39" s="10">
        <v>1993</v>
      </c>
      <c r="C39" s="88">
        <f>'Import 03'!B4</f>
        <v>925.322</v>
      </c>
      <c r="D39" s="2">
        <v>54.163779999999996</v>
      </c>
      <c r="E39" s="41">
        <f t="shared" si="1"/>
        <v>1.7083778126268146E-8</v>
      </c>
    </row>
    <row r="40" spans="2:12" x14ac:dyDescent="0.25">
      <c r="B40" s="10">
        <v>1994</v>
      </c>
      <c r="C40" s="88">
        <f>'Import 03'!B5</f>
        <v>1196.9010000000001</v>
      </c>
      <c r="D40" s="2">
        <v>82.613830000000007</v>
      </c>
      <c r="E40" s="41">
        <f t="shared" si="1"/>
        <v>1.4487901117766842E-8</v>
      </c>
    </row>
    <row r="41" spans="2:12" x14ac:dyDescent="0.25">
      <c r="B41" s="10">
        <v>1995</v>
      </c>
      <c r="C41" s="88">
        <f>'Import 03'!B6</f>
        <v>1228.4079999999999</v>
      </c>
      <c r="D41" s="2">
        <v>97.478279999999998</v>
      </c>
      <c r="E41" s="41">
        <f t="shared" si="1"/>
        <v>1.2601863717743069E-8</v>
      </c>
    </row>
    <row r="42" spans="2:12" x14ac:dyDescent="0.25">
      <c r="B42" s="10">
        <v>1996</v>
      </c>
      <c r="C42" s="88">
        <f>'Import 03'!B7</f>
        <v>1380.682</v>
      </c>
      <c r="D42" s="2">
        <v>137.40472</v>
      </c>
      <c r="E42" s="41">
        <f t="shared" si="1"/>
        <v>1.0048286550855021E-8</v>
      </c>
    </row>
    <row r="43" spans="2:12" x14ac:dyDescent="0.25">
      <c r="B43" s="10">
        <v>1997</v>
      </c>
      <c r="C43" s="88">
        <f>'Import 03'!B8</f>
        <v>1515.021</v>
      </c>
      <c r="D43" s="2">
        <v>168.40043</v>
      </c>
      <c r="E43" s="41">
        <f t="shared" si="1"/>
        <v>8.9965387855601079E-9</v>
      </c>
    </row>
    <row r="44" spans="2:12" x14ac:dyDescent="0.25">
      <c r="B44" s="10">
        <v>1998</v>
      </c>
      <c r="C44" s="88">
        <f>'Import 03'!B9</f>
        <v>2204.0390000000002</v>
      </c>
      <c r="D44" s="2">
        <v>184.64424</v>
      </c>
      <c r="E44" s="41">
        <f t="shared" si="1"/>
        <v>1.1936678880424324E-8</v>
      </c>
    </row>
    <row r="45" spans="2:12" x14ac:dyDescent="0.25">
      <c r="B45" s="10">
        <v>1999</v>
      </c>
      <c r="C45" s="88">
        <f>'Import 03'!B10</f>
        <v>1092.951</v>
      </c>
      <c r="D45" s="2">
        <v>182.49723999999998</v>
      </c>
      <c r="E45" s="41">
        <f t="shared" si="1"/>
        <v>5.9888631740403321E-9</v>
      </c>
    </row>
    <row r="46" spans="2:12" x14ac:dyDescent="0.25">
      <c r="B46" s="10">
        <v>2000</v>
      </c>
      <c r="C46" s="88">
        <f>'Import 03'!B11</f>
        <v>1017.932</v>
      </c>
      <c r="D46" s="2">
        <v>173.83799999999999</v>
      </c>
      <c r="E46" s="41">
        <f t="shared" si="1"/>
        <v>5.8556357068074873E-9</v>
      </c>
    </row>
    <row r="47" spans="2:12" x14ac:dyDescent="0.25">
      <c r="B47" s="10">
        <v>2001</v>
      </c>
      <c r="C47" s="88">
        <f>'Import 03'!B12</f>
        <v>956.29399999999998</v>
      </c>
      <c r="D47" s="2">
        <v>169.57254999999998</v>
      </c>
      <c r="E47" s="41">
        <f t="shared" si="1"/>
        <v>5.639438694529274E-9</v>
      </c>
    </row>
    <row r="48" spans="2:12" x14ac:dyDescent="0.25">
      <c r="B48" s="10">
        <v>2002</v>
      </c>
      <c r="C48" s="88">
        <f>'Import 03'!B13</f>
        <v>820.83399999999995</v>
      </c>
      <c r="D48" s="2">
        <v>193.08387999999999</v>
      </c>
      <c r="E48" s="41">
        <f t="shared" si="1"/>
        <v>4.2511782961891997E-9</v>
      </c>
    </row>
    <row r="49" spans="2:6" x14ac:dyDescent="0.25">
      <c r="B49" s="10">
        <v>2003</v>
      </c>
      <c r="C49" s="88">
        <f>'Import 03'!B14</f>
        <v>507.65699999999998</v>
      </c>
      <c r="D49" s="2">
        <v>203.78914</v>
      </c>
      <c r="E49" s="41">
        <f t="shared" si="1"/>
        <v>2.4910895644390077E-9</v>
      </c>
    </row>
    <row r="50" spans="2:6" x14ac:dyDescent="0.25">
      <c r="B50" s="10">
        <v>2004</v>
      </c>
      <c r="C50" s="88">
        <f>'Import 03'!B15</f>
        <v>728.75400000000002</v>
      </c>
      <c r="D50" s="2">
        <v>220.41551999999999</v>
      </c>
      <c r="E50" s="41">
        <f t="shared" si="1"/>
        <v>3.306273532825638E-9</v>
      </c>
    </row>
    <row r="51" spans="2:6" x14ac:dyDescent="0.25">
      <c r="B51" s="10">
        <v>2005</v>
      </c>
      <c r="C51" s="88">
        <f>'Import 03'!B16</f>
        <v>1047.9079999999999</v>
      </c>
      <c r="D51" s="2">
        <v>255.02369000000002</v>
      </c>
      <c r="E51" s="41">
        <f t="shared" si="1"/>
        <v>4.1090613973941001E-9</v>
      </c>
    </row>
    <row r="52" spans="2:6" x14ac:dyDescent="0.25">
      <c r="B52" s="10">
        <v>2006</v>
      </c>
      <c r="C52" s="88">
        <f>'Import 03'!B17</f>
        <v>1532.8219999999999</v>
      </c>
      <c r="D52" s="2">
        <v>289.62955999999997</v>
      </c>
      <c r="E52" s="41">
        <f t="shared" si="1"/>
        <v>5.2923534462435393E-9</v>
      </c>
    </row>
    <row r="53" spans="2:6" x14ac:dyDescent="0.25">
      <c r="B53" s="10">
        <v>2007</v>
      </c>
      <c r="C53" s="88">
        <f>'Import 03'!B18</f>
        <v>1467.0630000000001</v>
      </c>
      <c r="D53" s="2">
        <v>315.86653999999999</v>
      </c>
      <c r="E53" s="41">
        <f t="shared" si="1"/>
        <v>4.6445660246254648E-9</v>
      </c>
    </row>
    <row r="54" spans="2:6" x14ac:dyDescent="0.25">
      <c r="B54" s="10">
        <v>2008</v>
      </c>
      <c r="C54" s="88">
        <f>'Import 03'!B19</f>
        <v>2303.5450000000001</v>
      </c>
      <c r="D54" s="2">
        <v>356.99453000000005</v>
      </c>
      <c r="E54" s="41">
        <f t="shared" si="1"/>
        <v>6.4526058704596946E-9</v>
      </c>
    </row>
    <row r="55" spans="2:6" x14ac:dyDescent="0.25">
      <c r="B55" s="10">
        <v>2009</v>
      </c>
      <c r="C55" s="88">
        <f>'Import 03'!B20</f>
        <v>1612.6079999999999</v>
      </c>
      <c r="D55" s="2">
        <v>413.96373999999997</v>
      </c>
      <c r="E55" s="41">
        <f t="shared" si="1"/>
        <v>3.8955295939687858E-9</v>
      </c>
    </row>
    <row r="56" spans="2:6" x14ac:dyDescent="0.25">
      <c r="B56" s="10">
        <v>2010</v>
      </c>
      <c r="C56" s="88">
        <f>'Import 03'!B21</f>
        <v>2935.0540000000001</v>
      </c>
      <c r="D56" s="2">
        <v>476.72912000000002</v>
      </c>
      <c r="E56" s="41">
        <f t="shared" si="1"/>
        <v>6.1566492938379768E-9</v>
      </c>
    </row>
    <row r="57" spans="2:6" x14ac:dyDescent="0.25">
      <c r="B57" s="10">
        <v>2011</v>
      </c>
      <c r="C57" s="88">
        <f>'Import 03'!B22</f>
        <v>2265.7539999999999</v>
      </c>
      <c r="D57" s="2">
        <v>449.90528999999998</v>
      </c>
      <c r="E57" s="41">
        <f t="shared" si="1"/>
        <v>5.0360688135051711E-9</v>
      </c>
    </row>
    <row r="58" spans="2:6" x14ac:dyDescent="0.25">
      <c r="B58" s="10">
        <v>2012</v>
      </c>
      <c r="C58" s="88">
        <f>'Import 03'!B23</f>
        <v>2209.4899999999998</v>
      </c>
      <c r="D58" s="2">
        <v>494.70812999999998</v>
      </c>
      <c r="E58" s="41">
        <f t="shared" si="1"/>
        <v>4.4662496248040234E-9</v>
      </c>
    </row>
    <row r="59" spans="2:6" x14ac:dyDescent="0.25">
      <c r="B59" s="10">
        <v>2013</v>
      </c>
      <c r="C59" s="88">
        <f>'Import 03'!B24</f>
        <v>19122.162</v>
      </c>
      <c r="D59" s="2">
        <v>585.44633999999996</v>
      </c>
      <c r="E59" s="41">
        <f t="shared" si="1"/>
        <v>3.2662535732993057E-8</v>
      </c>
    </row>
    <row r="60" spans="2:6" x14ac:dyDescent="0.25">
      <c r="B60" s="10">
        <v>2014</v>
      </c>
      <c r="C60" s="88">
        <f>'Import 03'!B25</f>
        <v>11780.574000000001</v>
      </c>
      <c r="D60" s="2">
        <v>607.30944999999997</v>
      </c>
      <c r="E60" s="41">
        <f t="shared" si="1"/>
        <v>1.9397975776599558E-8</v>
      </c>
    </row>
    <row r="61" spans="2:6" x14ac:dyDescent="0.25">
      <c r="B61" s="11">
        <v>2015</v>
      </c>
      <c r="C61" s="88">
        <f>'Import 03'!B26</f>
        <v>15830.123</v>
      </c>
      <c r="D61" s="2">
        <v>645.33130000000006</v>
      </c>
      <c r="E61" s="41">
        <f t="shared" si="1"/>
        <v>2.45302265673461E-8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90" x14ac:dyDescent="0.25">
      <c r="B67" s="12" t="s">
        <v>3</v>
      </c>
      <c r="C67" s="13" t="s">
        <v>83</v>
      </c>
      <c r="D67" s="13" t="s">
        <v>87</v>
      </c>
      <c r="E67" s="14" t="s">
        <v>82</v>
      </c>
    </row>
    <row r="68" spans="2:12" x14ac:dyDescent="0.25">
      <c r="B68" s="10">
        <v>1991</v>
      </c>
      <c r="C68" s="80">
        <f>'Apertura 03'!B125</f>
        <v>64.243949000000001</v>
      </c>
      <c r="D68" s="2">
        <f t="shared" ref="D68:D92" si="2">D37*2</f>
        <v>61.77328</v>
      </c>
      <c r="E68" s="41">
        <f t="shared" ref="E68:E92" si="3">(C68/D68)/10000000</f>
        <v>1.0399957554463677E-7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80">
        <f>'Apertura 03'!B126</f>
        <v>49.051187999999996</v>
      </c>
      <c r="D69" s="2">
        <f t="shared" si="2"/>
        <v>73.497559999999993</v>
      </c>
      <c r="E69" s="41">
        <f t="shared" si="3"/>
        <v>6.6738525741534832E-8</v>
      </c>
    </row>
    <row r="70" spans="2:12" x14ac:dyDescent="0.25">
      <c r="B70" s="10">
        <v>1993</v>
      </c>
      <c r="C70" s="80">
        <f>'Apertura 03'!B127</f>
        <v>64.789846000000011</v>
      </c>
      <c r="D70" s="2">
        <f t="shared" si="2"/>
        <v>108.32755999999999</v>
      </c>
      <c r="E70" s="41">
        <f t="shared" si="3"/>
        <v>5.9809199062546974E-8</v>
      </c>
    </row>
    <row r="71" spans="2:12" x14ac:dyDescent="0.25">
      <c r="B71" s="10">
        <v>1994</v>
      </c>
      <c r="C71" s="80">
        <f>'Apertura 03'!B128</f>
        <v>85.461164999999994</v>
      </c>
      <c r="D71" s="2">
        <f t="shared" si="2"/>
        <v>165.22766000000001</v>
      </c>
      <c r="E71" s="41">
        <f t="shared" si="3"/>
        <v>5.1723279867305502E-8</v>
      </c>
    </row>
    <row r="72" spans="2:12" x14ac:dyDescent="0.25">
      <c r="B72" s="10">
        <v>1995</v>
      </c>
      <c r="C72" s="80">
        <f>'Apertura 03'!B129</f>
        <v>87.823816000000008</v>
      </c>
      <c r="D72" s="2">
        <f t="shared" si="2"/>
        <v>194.95656</v>
      </c>
      <c r="E72" s="41">
        <f t="shared" si="3"/>
        <v>4.5047889642697844E-8</v>
      </c>
    </row>
    <row r="73" spans="2:12" x14ac:dyDescent="0.25">
      <c r="B73" s="10">
        <v>1996</v>
      </c>
      <c r="C73" s="80">
        <f>'Apertura 03'!B130</f>
        <v>75.241305999999994</v>
      </c>
      <c r="D73" s="2">
        <f t="shared" si="2"/>
        <v>274.80944</v>
      </c>
      <c r="E73" s="41">
        <f t="shared" si="3"/>
        <v>2.7379447372695781E-8</v>
      </c>
    </row>
    <row r="74" spans="2:12" x14ac:dyDescent="0.25">
      <c r="B74" s="10">
        <v>1997</v>
      </c>
      <c r="C74" s="80">
        <f>'Apertura 03'!B131</f>
        <v>67.786597</v>
      </c>
      <c r="D74" s="2">
        <f t="shared" si="2"/>
        <v>336.80086</v>
      </c>
      <c r="E74" s="41">
        <f t="shared" si="3"/>
        <v>2.0126610424925874E-8</v>
      </c>
    </row>
    <row r="75" spans="2:12" x14ac:dyDescent="0.25">
      <c r="B75" s="10">
        <v>1998</v>
      </c>
      <c r="C75" s="80">
        <f>'Apertura 03'!B132</f>
        <v>42.461099000000004</v>
      </c>
      <c r="D75" s="2">
        <f t="shared" si="2"/>
        <v>369.28847999999999</v>
      </c>
      <c r="E75" s="41">
        <f t="shared" si="3"/>
        <v>1.1498083828664247E-8</v>
      </c>
    </row>
    <row r="76" spans="2:12" x14ac:dyDescent="0.25">
      <c r="B76" s="10">
        <v>1999</v>
      </c>
      <c r="C76" s="80">
        <f>'Apertura 03'!B133</f>
        <v>51.282055</v>
      </c>
      <c r="D76" s="2">
        <f t="shared" si="2"/>
        <v>364.99447999999995</v>
      </c>
      <c r="E76" s="41">
        <f t="shared" si="3"/>
        <v>1.4050090565753215E-8</v>
      </c>
    </row>
    <row r="77" spans="2:12" x14ac:dyDescent="0.25">
      <c r="B77" s="10">
        <v>2000</v>
      </c>
      <c r="C77" s="80">
        <f>'Apertura 03'!B134</f>
        <v>47.942578000000005</v>
      </c>
      <c r="D77" s="2">
        <f t="shared" si="2"/>
        <v>347.67599999999999</v>
      </c>
      <c r="E77" s="41">
        <f t="shared" si="3"/>
        <v>1.3789441318929119E-8</v>
      </c>
    </row>
    <row r="78" spans="2:12" x14ac:dyDescent="0.25">
      <c r="B78" s="10">
        <v>2001</v>
      </c>
      <c r="C78" s="80">
        <f>'Apertura 03'!B135</f>
        <v>46.662134000000009</v>
      </c>
      <c r="D78" s="2">
        <f t="shared" si="2"/>
        <v>339.14509999999996</v>
      </c>
      <c r="E78" s="41">
        <f t="shared" si="3"/>
        <v>1.375875222729151E-8</v>
      </c>
    </row>
    <row r="79" spans="2:12" x14ac:dyDescent="0.25">
      <c r="B79" s="10">
        <v>2002</v>
      </c>
      <c r="C79" s="80">
        <f>'Apertura 03'!B136</f>
        <v>41.517641000000005</v>
      </c>
      <c r="D79" s="2">
        <f t="shared" si="2"/>
        <v>386.16775999999999</v>
      </c>
      <c r="E79" s="41">
        <f t="shared" si="3"/>
        <v>1.0751192953031606E-8</v>
      </c>
    </row>
    <row r="80" spans="2:12" x14ac:dyDescent="0.25">
      <c r="B80" s="10">
        <v>2003</v>
      </c>
      <c r="C80" s="80">
        <f>'Apertura 03'!B137</f>
        <v>33.493023999999998</v>
      </c>
      <c r="D80" s="2">
        <f t="shared" si="2"/>
        <v>407.57828000000001</v>
      </c>
      <c r="E80" s="41">
        <f t="shared" si="3"/>
        <v>8.2175684140970412E-9</v>
      </c>
    </row>
    <row r="81" spans="2:5" x14ac:dyDescent="0.25">
      <c r="B81" s="10">
        <v>2004</v>
      </c>
      <c r="C81" s="80">
        <f>'Apertura 03'!B138</f>
        <v>32.072651</v>
      </c>
      <c r="D81" s="2">
        <f t="shared" si="2"/>
        <v>440.83103999999997</v>
      </c>
      <c r="E81" s="41">
        <f t="shared" si="3"/>
        <v>7.2754974332115997E-9</v>
      </c>
    </row>
    <row r="82" spans="2:5" x14ac:dyDescent="0.25">
      <c r="B82" s="10">
        <v>2005</v>
      </c>
      <c r="C82" s="80">
        <f>'Apertura 03'!B139</f>
        <v>32.522680999999999</v>
      </c>
      <c r="D82" s="2">
        <f t="shared" si="2"/>
        <v>510.04738000000003</v>
      </c>
      <c r="E82" s="41">
        <f t="shared" si="3"/>
        <v>6.3764038940852906E-9</v>
      </c>
    </row>
    <row r="83" spans="2:5" x14ac:dyDescent="0.25">
      <c r="B83" s="10">
        <v>2006</v>
      </c>
      <c r="C83" s="80">
        <f>'Apertura 03'!B140</f>
        <v>29.279149999999998</v>
      </c>
      <c r="D83" s="2">
        <f t="shared" si="2"/>
        <v>579.25911999999994</v>
      </c>
      <c r="E83" s="41">
        <f t="shared" si="3"/>
        <v>5.0545859338390737E-9</v>
      </c>
    </row>
    <row r="84" spans="2:5" x14ac:dyDescent="0.25">
      <c r="B84" s="10">
        <v>2007</v>
      </c>
      <c r="C84" s="80">
        <f>'Apertura 03'!B141</f>
        <v>20.176260000000003</v>
      </c>
      <c r="D84" s="2">
        <f t="shared" si="2"/>
        <v>631.73307999999997</v>
      </c>
      <c r="E84" s="41">
        <f t="shared" si="3"/>
        <v>3.1937950756037669E-9</v>
      </c>
    </row>
    <row r="85" spans="2:5" x14ac:dyDescent="0.25">
      <c r="B85" s="10">
        <v>2008</v>
      </c>
      <c r="C85" s="80">
        <f>'Apertura 03'!B142</f>
        <v>28.667615000000005</v>
      </c>
      <c r="D85" s="2">
        <f t="shared" si="2"/>
        <v>713.98906000000011</v>
      </c>
      <c r="E85" s="41">
        <f t="shared" si="3"/>
        <v>4.0151336492466712E-9</v>
      </c>
    </row>
    <row r="86" spans="2:5" x14ac:dyDescent="0.25">
      <c r="B86" s="10">
        <v>2009</v>
      </c>
      <c r="C86" s="80">
        <f>'Apertura 03'!B143</f>
        <v>32.936782999999998</v>
      </c>
      <c r="D86" s="2">
        <f t="shared" si="2"/>
        <v>827.92747999999995</v>
      </c>
      <c r="E86" s="41">
        <f t="shared" si="3"/>
        <v>3.9782207736358747E-9</v>
      </c>
    </row>
    <row r="87" spans="2:5" x14ac:dyDescent="0.25">
      <c r="B87" s="10">
        <v>2010</v>
      </c>
      <c r="C87" s="80">
        <f>'Apertura 03'!B144</f>
        <v>52.657853000000003</v>
      </c>
      <c r="D87" s="2">
        <f t="shared" si="2"/>
        <v>953.45824000000005</v>
      </c>
      <c r="E87" s="41">
        <f t="shared" si="3"/>
        <v>5.5228274077320894E-9</v>
      </c>
    </row>
    <row r="88" spans="2:5" x14ac:dyDescent="0.25">
      <c r="B88" s="10">
        <v>2011</v>
      </c>
      <c r="C88" s="80">
        <f>'Apertura 03'!B145</f>
        <v>54.404145</v>
      </c>
      <c r="D88" s="2">
        <f t="shared" si="2"/>
        <v>899.81057999999996</v>
      </c>
      <c r="E88" s="41">
        <f t="shared" si="3"/>
        <v>6.0461775188284633E-9</v>
      </c>
    </row>
    <row r="89" spans="2:5" x14ac:dyDescent="0.25">
      <c r="B89" s="10">
        <v>2012</v>
      </c>
      <c r="C89" s="80">
        <f>'Apertura 03'!B146</f>
        <v>73.206535000000002</v>
      </c>
      <c r="D89" s="2">
        <f t="shared" si="2"/>
        <v>989.41625999999997</v>
      </c>
      <c r="E89" s="41">
        <f t="shared" si="3"/>
        <v>7.3989621921111348E-9</v>
      </c>
    </row>
    <row r="90" spans="2:5" x14ac:dyDescent="0.25">
      <c r="B90" s="10">
        <v>2013</v>
      </c>
      <c r="C90" s="80">
        <f>'Apertura 03'!B147</f>
        <v>81.903179000000009</v>
      </c>
      <c r="D90" s="2">
        <f t="shared" si="2"/>
        <v>1170.8926799999999</v>
      </c>
      <c r="E90" s="41">
        <f t="shared" si="3"/>
        <v>6.9949347535420592E-9</v>
      </c>
    </row>
    <row r="91" spans="2:5" x14ac:dyDescent="0.25">
      <c r="B91" s="10">
        <v>2014</v>
      </c>
      <c r="C91" s="80">
        <f>'Apertura 03'!B148</f>
        <v>90.997570999999994</v>
      </c>
      <c r="D91" s="2">
        <f t="shared" si="2"/>
        <v>1214.6188999999999</v>
      </c>
      <c r="E91" s="41">
        <f t="shared" si="3"/>
        <v>7.4918619329898463E-9</v>
      </c>
    </row>
    <row r="92" spans="2:5" x14ac:dyDescent="0.25">
      <c r="B92" s="11">
        <v>2015</v>
      </c>
      <c r="C92" s="80">
        <f>'Apertura 03'!B149</f>
        <v>84.490143000000018</v>
      </c>
      <c r="D92" s="2">
        <f t="shared" si="2"/>
        <v>1290.6626000000001</v>
      </c>
      <c r="E92" s="41">
        <f t="shared" si="3"/>
        <v>6.5462610445208541E-9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L28" sqref="L28"/>
    </sheetView>
  </sheetViews>
  <sheetFormatPr baseColWidth="10" defaultRowHeight="15" x14ac:dyDescent="0.25"/>
  <cols>
    <col min="2" max="2" width="13.42578125" customWidth="1"/>
  </cols>
  <sheetData>
    <row r="1" spans="1:2" ht="60" x14ac:dyDescent="0.25">
      <c r="A1" s="34" t="s">
        <v>3</v>
      </c>
      <c r="B1" s="34" t="s">
        <v>119</v>
      </c>
    </row>
    <row r="2" spans="1:2" x14ac:dyDescent="0.25">
      <c r="A2" s="54">
        <v>1991</v>
      </c>
      <c r="B2">
        <v>734.10299999999995</v>
      </c>
    </row>
    <row r="3" spans="1:2" x14ac:dyDescent="0.25">
      <c r="A3" s="55">
        <v>1992</v>
      </c>
      <c r="B3">
        <v>1414.192</v>
      </c>
    </row>
    <row r="4" spans="1:2" x14ac:dyDescent="0.25">
      <c r="A4" s="54">
        <v>1993</v>
      </c>
      <c r="B4">
        <v>2008.502</v>
      </c>
    </row>
    <row r="5" spans="1:2" x14ac:dyDescent="0.25">
      <c r="A5" s="55">
        <v>1994</v>
      </c>
      <c r="B5">
        <v>2032.5329999999999</v>
      </c>
    </row>
    <row r="6" spans="1:2" x14ac:dyDescent="0.25">
      <c r="A6" s="54">
        <v>1995</v>
      </c>
      <c r="B6">
        <v>2091.5880000000002</v>
      </c>
    </row>
    <row r="7" spans="1:2" x14ac:dyDescent="0.25">
      <c r="A7" s="55">
        <v>1996</v>
      </c>
      <c r="B7">
        <v>1953.7819999999999</v>
      </c>
    </row>
    <row r="8" spans="1:2" x14ac:dyDescent="0.25">
      <c r="A8" s="54">
        <v>1997</v>
      </c>
      <c r="B8">
        <v>1089.6410000000001</v>
      </c>
    </row>
    <row r="9" spans="1:2" x14ac:dyDescent="0.25">
      <c r="A9" s="55">
        <v>1998</v>
      </c>
      <c r="B9">
        <v>943.56700000000001</v>
      </c>
    </row>
    <row r="10" spans="1:2" x14ac:dyDescent="0.25">
      <c r="A10" s="54">
        <v>1999</v>
      </c>
      <c r="B10">
        <v>1843.0740000000001</v>
      </c>
    </row>
    <row r="11" spans="1:2" x14ac:dyDescent="0.25">
      <c r="A11" s="55">
        <v>2000</v>
      </c>
      <c r="B11">
        <v>1791.836</v>
      </c>
    </row>
    <row r="12" spans="1:2" x14ac:dyDescent="0.25">
      <c r="A12" s="54">
        <v>2001</v>
      </c>
      <c r="B12">
        <v>1957.27</v>
      </c>
    </row>
    <row r="13" spans="1:2" x14ac:dyDescent="0.25">
      <c r="A13" s="55">
        <v>2002</v>
      </c>
      <c r="B13">
        <v>1236.923</v>
      </c>
    </row>
    <row r="14" spans="1:2" x14ac:dyDescent="0.25">
      <c r="A14" s="54">
        <v>2003</v>
      </c>
      <c r="B14">
        <v>1441.682</v>
      </c>
    </row>
    <row r="15" spans="1:2" x14ac:dyDescent="0.25">
      <c r="A15" s="55">
        <v>2004</v>
      </c>
      <c r="B15">
        <v>2121.6509999999998</v>
      </c>
    </row>
    <row r="16" spans="1:2" x14ac:dyDescent="0.25">
      <c r="A16" s="54">
        <v>2005</v>
      </c>
      <c r="B16">
        <v>3450.0210000000002</v>
      </c>
    </row>
    <row r="17" spans="1:2" x14ac:dyDescent="0.25">
      <c r="A17" s="55">
        <v>2006</v>
      </c>
      <c r="B17">
        <v>1953.683</v>
      </c>
    </row>
    <row r="18" spans="1:2" x14ac:dyDescent="0.25">
      <c r="A18" s="54">
        <v>2007</v>
      </c>
      <c r="B18">
        <v>2639.74</v>
      </c>
    </row>
    <row r="19" spans="1:2" x14ac:dyDescent="0.25">
      <c r="A19" s="55">
        <v>2008</v>
      </c>
      <c r="B19">
        <v>1717.326</v>
      </c>
    </row>
    <row r="20" spans="1:2" x14ac:dyDescent="0.25">
      <c r="A20" s="54">
        <v>2009</v>
      </c>
      <c r="B20">
        <v>1575.6310000000001</v>
      </c>
    </row>
    <row r="21" spans="1:2" x14ac:dyDescent="0.25">
      <c r="A21" s="55">
        <v>2010</v>
      </c>
      <c r="B21">
        <v>1504.893</v>
      </c>
    </row>
    <row r="22" spans="1:2" x14ac:dyDescent="0.25">
      <c r="A22" s="54">
        <v>2011</v>
      </c>
      <c r="B22">
        <v>972.726</v>
      </c>
    </row>
    <row r="23" spans="1:2" x14ac:dyDescent="0.25">
      <c r="A23" s="55">
        <v>2012</v>
      </c>
      <c r="B23">
        <v>1055.278</v>
      </c>
    </row>
    <row r="24" spans="1:2" x14ac:dyDescent="0.25">
      <c r="A24" s="54">
        <v>2013</v>
      </c>
      <c r="B24">
        <v>1403.4190000000001</v>
      </c>
    </row>
    <row r="25" spans="1:2" x14ac:dyDescent="0.25">
      <c r="A25" s="55">
        <v>2014</v>
      </c>
      <c r="B25">
        <v>1707.6569999999999</v>
      </c>
    </row>
    <row r="26" spans="1:2" x14ac:dyDescent="0.25">
      <c r="A26" s="54">
        <v>2015</v>
      </c>
      <c r="B26">
        <v>2333.547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A30" zoomScale="80" zoomScaleNormal="80" workbookViewId="0">
      <selection activeCell="F34" sqref="F34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19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74">
        <f>'Balanza c 03'!B2</f>
        <v>62.638339000000002</v>
      </c>
      <c r="C5" s="27">
        <v>881.41649700000005</v>
      </c>
      <c r="D5" s="2">
        <v>1806.394</v>
      </c>
      <c r="E5" s="5">
        <v>218.072048</v>
      </c>
      <c r="F5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7.1065522049783087E-8</v>
      </c>
      <c r="G5" s="7" t="s">
        <v>96</v>
      </c>
      <c r="L5" s="49" t="s">
        <v>97</v>
      </c>
    </row>
    <row r="6" spans="1:17" x14ac:dyDescent="0.25">
      <c r="A6" s="10">
        <v>1992</v>
      </c>
      <c r="B6" s="74">
        <f>'Balanza c 03'!B3</f>
        <v>47.426603999999998</v>
      </c>
      <c r="C6" s="27">
        <v>983.24995899999999</v>
      </c>
      <c r="D6" s="2">
        <v>3152.6379999999999</v>
      </c>
      <c r="E6" s="5">
        <v>433.62799100000001</v>
      </c>
      <c r="F6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4.8234513157162465E-8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74">
        <f>'Balanza c 03'!B4</f>
        <v>62.939202000000002</v>
      </c>
      <c r="C7" s="27">
        <v>959.41936999999996</v>
      </c>
      <c r="D7" s="2">
        <v>3215.2869999999998</v>
      </c>
      <c r="E7" s="5">
        <v>473.60294699999997</v>
      </c>
      <c r="F7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6.5601313564291063E-8</v>
      </c>
      <c r="G7" s="1"/>
      <c r="M7" s="49"/>
      <c r="N7" s="49"/>
      <c r="O7" s="49"/>
    </row>
    <row r="8" spans="1:17" x14ac:dyDescent="0.25">
      <c r="A8" s="10">
        <v>1994</v>
      </c>
      <c r="B8" s="74">
        <f>'Balanza c 03'!B5</f>
        <v>83.067363</v>
      </c>
      <c r="C8" s="27">
        <v>1017.331577</v>
      </c>
      <c r="D8" s="2">
        <v>4474.9809999999998</v>
      </c>
      <c r="E8" s="5">
        <v>632.10264900000004</v>
      </c>
      <c r="F8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8.1652150847824457E-8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74">
        <f>'Balanza c 03'!B6</f>
        <v>85.367000000000004</v>
      </c>
      <c r="C9" s="27">
        <v>1038.4779860000001</v>
      </c>
      <c r="D9" s="2">
        <v>3992.277</v>
      </c>
      <c r="E9" s="5">
        <v>792.92823299999998</v>
      </c>
      <c r="F9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8.2203894515883523E-8</v>
      </c>
      <c r="G9" s="1"/>
    </row>
    <row r="10" spans="1:17" x14ac:dyDescent="0.25">
      <c r="A10" s="10">
        <v>1996</v>
      </c>
      <c r="B10" s="74">
        <f>'Balanza c 03'!B7</f>
        <v>72.479942000000008</v>
      </c>
      <c r="C10" s="27">
        <v>1068.2126330000001</v>
      </c>
      <c r="D10" s="2">
        <v>5379.8019999999997</v>
      </c>
      <c r="E10" s="5">
        <v>1032.147324</v>
      </c>
      <c r="F10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6.7851539785351703E-8</v>
      </c>
      <c r="G10" s="1"/>
      <c r="H10" s="49"/>
    </row>
    <row r="11" spans="1:17" x14ac:dyDescent="0.25">
      <c r="A11" s="10">
        <v>1997</v>
      </c>
      <c r="B11" s="74">
        <f>'Balanza c 03'!B8</f>
        <v>64.756554999999992</v>
      </c>
      <c r="C11" s="27">
        <v>1133.477727</v>
      </c>
      <c r="D11" s="2">
        <v>3821.105</v>
      </c>
      <c r="E11" s="5">
        <v>969.76201700000001</v>
      </c>
      <c r="F11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5.7130809061510016E-8</v>
      </c>
      <c r="G11" s="1"/>
    </row>
    <row r="12" spans="1:17" x14ac:dyDescent="0.25">
      <c r="A12" s="10">
        <v>1998</v>
      </c>
      <c r="B12" s="74">
        <f>'Balanza c 03'!B9</f>
        <v>38.053021000000001</v>
      </c>
      <c r="C12" s="27">
        <v>1185.2250309999999</v>
      </c>
      <c r="D12" s="2">
        <v>3538.69</v>
      </c>
      <c r="E12" s="5">
        <v>942.82702099999995</v>
      </c>
      <c r="F12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3.2106131522859868E-8</v>
      </c>
      <c r="G12" s="1"/>
    </row>
    <row r="13" spans="1:17" x14ac:dyDescent="0.25">
      <c r="A13" s="10">
        <v>1999</v>
      </c>
      <c r="B13" s="74">
        <f>'Balanza c 03'!B10</f>
        <v>49.096153000000001</v>
      </c>
      <c r="C13" s="27">
        <v>1221.7329010000001</v>
      </c>
      <c r="D13" s="2">
        <v>3328.6469999999999</v>
      </c>
      <c r="E13" s="5">
        <v>718.368246</v>
      </c>
      <c r="F13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4.0185644580516207E-8</v>
      </c>
      <c r="G13" s="1"/>
    </row>
    <row r="14" spans="1:17" x14ac:dyDescent="0.25">
      <c r="A14" s="10">
        <v>2000</v>
      </c>
      <c r="B14" s="74">
        <f>'Balanza c 03'!B11</f>
        <v>45.906714000000001</v>
      </c>
      <c r="C14" s="27">
        <v>1182.814787</v>
      </c>
      <c r="D14" s="2">
        <v>2423.2669999999998</v>
      </c>
      <c r="E14" s="5">
        <v>800.71074399999998</v>
      </c>
      <c r="F14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3.8811387402197842E-8</v>
      </c>
      <c r="G14" s="1"/>
    </row>
    <row r="15" spans="1:17" x14ac:dyDescent="0.25">
      <c r="A15" s="10">
        <v>2001</v>
      </c>
      <c r="B15" s="74">
        <f>'Balanza c 03'!B12</f>
        <v>44.749546000000002</v>
      </c>
      <c r="C15" s="27">
        <v>1144.9792580000001</v>
      </c>
      <c r="D15" s="2">
        <v>3458.69</v>
      </c>
      <c r="E15" s="5">
        <v>806.63776399999995</v>
      </c>
      <c r="F15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3.9083253396343939E-8</v>
      </c>
      <c r="G15" s="1"/>
    </row>
    <row r="16" spans="1:17" x14ac:dyDescent="0.25">
      <c r="A16" s="10">
        <v>2002</v>
      </c>
      <c r="B16" s="74">
        <f>'Balanza c 03'!B13</f>
        <v>39.875973000000002</v>
      </c>
      <c r="C16" s="27">
        <v>1201.0997769999999</v>
      </c>
      <c r="D16" s="2">
        <v>3495.8850000000002</v>
      </c>
      <c r="E16" s="5">
        <v>914.29077400000006</v>
      </c>
      <c r="F16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3.3199525476208756E-8</v>
      </c>
      <c r="G16" s="1"/>
    </row>
    <row r="17" spans="1:7" x14ac:dyDescent="0.25">
      <c r="A17" s="10">
        <v>2003</v>
      </c>
      <c r="B17" s="74">
        <f>'Balanza c 03'!B14</f>
        <v>32.477709999999995</v>
      </c>
      <c r="C17" s="27">
        <v>1198.522637</v>
      </c>
      <c r="D17" s="2">
        <v>4221.4390000000003</v>
      </c>
      <c r="E17" s="5">
        <v>964.07554868999978</v>
      </c>
      <c r="F17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2.7098098002287711E-8</v>
      </c>
      <c r="G17" s="1"/>
    </row>
    <row r="18" spans="1:7" x14ac:dyDescent="0.25">
      <c r="A18" s="10">
        <v>2004</v>
      </c>
      <c r="B18" s="74">
        <f>'Balanza c 03'!B15</f>
        <v>30.615143</v>
      </c>
      <c r="C18" s="27">
        <v>1414.1092617499999</v>
      </c>
      <c r="D18" s="2">
        <v>2268.058</v>
      </c>
      <c r="E18" s="5">
        <v>1096.5766716700007</v>
      </c>
      <c r="F18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2.1649755140912166E-8</v>
      </c>
      <c r="G18" s="1"/>
    </row>
    <row r="19" spans="1:7" x14ac:dyDescent="0.25">
      <c r="A19" s="10">
        <v>2005</v>
      </c>
      <c r="B19" s="74">
        <f>'Balanza c 03'!B16</f>
        <v>30.426864999999999</v>
      </c>
      <c r="C19" s="27">
        <v>1724.6291241099998</v>
      </c>
      <c r="D19" s="2">
        <v>3775.5949999999998</v>
      </c>
      <c r="E19" s="5">
        <v>1034.5303382900004</v>
      </c>
      <c r="F19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1.7642544894371959E-8</v>
      </c>
      <c r="G19" s="1"/>
    </row>
    <row r="20" spans="1:7" x14ac:dyDescent="0.25">
      <c r="A20" s="10">
        <v>2006</v>
      </c>
      <c r="B20" s="74">
        <f>'Balanza c 03'!B17</f>
        <v>26.213505999999999</v>
      </c>
      <c r="C20" s="27">
        <v>1872.3784980099981</v>
      </c>
      <c r="D20" s="2">
        <v>3769.5279999999998</v>
      </c>
      <c r="E20" s="5">
        <v>1257.3132665799999</v>
      </c>
      <c r="F20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1.4000101168298661E-8</v>
      </c>
      <c r="G20" s="1"/>
    </row>
    <row r="21" spans="1:7" x14ac:dyDescent="0.25">
      <c r="A21" s="10">
        <v>2007</v>
      </c>
      <c r="B21" s="74">
        <f>'Balanza c 03'!B18</f>
        <v>17.242134</v>
      </c>
      <c r="C21" s="26">
        <v>2122.5042788000019</v>
      </c>
      <c r="D21" s="2">
        <v>4219.6670000000004</v>
      </c>
      <c r="E21" s="5">
        <v>1695.4131790200004</v>
      </c>
      <c r="F21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8.1234796082926031E-9</v>
      </c>
      <c r="G21" s="1"/>
    </row>
    <row r="22" spans="1:7" x14ac:dyDescent="0.25">
      <c r="A22" s="10">
        <v>2008</v>
      </c>
      <c r="B22" s="74">
        <f>'Balanza c 03'!B19</f>
        <v>24.060525000000002</v>
      </c>
      <c r="C22" s="26">
        <v>2146.3400352200028</v>
      </c>
      <c r="D22" s="2">
        <v>4908.3850000000002</v>
      </c>
      <c r="E22" s="5">
        <v>2236.8973823599977</v>
      </c>
      <c r="F22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1.1210013105814706E-8</v>
      </c>
      <c r="G22" s="1"/>
    </row>
    <row r="23" spans="1:7" x14ac:dyDescent="0.25">
      <c r="A23" s="10">
        <v>2009</v>
      </c>
      <c r="B23" s="74">
        <f>'Balanza c 03'!B20</f>
        <v>29.711566999999999</v>
      </c>
      <c r="C23" s="26">
        <v>2095.9589286500013</v>
      </c>
      <c r="D23" s="2">
        <v>4795.9279999999999</v>
      </c>
      <c r="E23" s="5">
        <v>1750.4526144300014</v>
      </c>
      <c r="F23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1.4175631869544893E-8</v>
      </c>
      <c r="G23" s="1"/>
    </row>
    <row r="24" spans="1:7" x14ac:dyDescent="0.25">
      <c r="A24" s="10">
        <v>2010</v>
      </c>
      <c r="B24" s="74">
        <f>'Balanza c 03'!B21</f>
        <v>46.787745000000001</v>
      </c>
      <c r="C24" s="26">
        <v>2166.04730251</v>
      </c>
      <c r="D24" s="2">
        <v>912.50599999999997</v>
      </c>
      <c r="E24" s="5">
        <v>2018.9772672800029</v>
      </c>
      <c r="F24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2.1600498444732685E-8</v>
      </c>
      <c r="G24" s="1"/>
    </row>
    <row r="25" spans="1:7" x14ac:dyDescent="0.25">
      <c r="A25" s="10">
        <v>2011</v>
      </c>
      <c r="B25" s="74">
        <f>'Balanza c 03'!B22</f>
        <v>49.872636999999997</v>
      </c>
      <c r="C25" s="26">
        <v>2284.3647235700028</v>
      </c>
      <c r="D25" s="2">
        <v>1611.5440000000001</v>
      </c>
      <c r="E25" s="5">
        <v>2563.9037290099977</v>
      </c>
      <c r="F25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2.1832144626424698E-8</v>
      </c>
      <c r="G25" s="1"/>
    </row>
    <row r="26" spans="1:7" x14ac:dyDescent="0.25">
      <c r="A26" s="10">
        <v>2012</v>
      </c>
      <c r="B26" s="74">
        <f>'Balanza c 03'!B23</f>
        <v>68.787554999999998</v>
      </c>
      <c r="C26" s="26">
        <v>2636.1765412600002</v>
      </c>
      <c r="D26" s="2">
        <v>1734.827</v>
      </c>
      <c r="E26" s="5">
        <v>2705.0876101299973</v>
      </c>
      <c r="F26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2.6093656224364937E-8</v>
      </c>
      <c r="G26" s="1"/>
    </row>
    <row r="27" spans="1:7" x14ac:dyDescent="0.25">
      <c r="A27" s="10">
        <v>2013</v>
      </c>
      <c r="B27" s="74">
        <f>'Balanza c 03'!B24</f>
        <v>43.658855000000003</v>
      </c>
      <c r="C27" s="26">
        <v>2651.0931387399996</v>
      </c>
      <c r="D27" s="2">
        <v>1652.723</v>
      </c>
      <c r="E27" s="5">
        <v>2581.5323848800022</v>
      </c>
      <c r="F27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1.6468230349492742E-8</v>
      </c>
      <c r="G27" s="1"/>
    </row>
    <row r="28" spans="1:7" x14ac:dyDescent="0.25">
      <c r="A28" s="10">
        <v>2014</v>
      </c>
      <c r="B28" s="74">
        <f>'Balanza c 03'!B25</f>
        <v>67.436423000000005</v>
      </c>
      <c r="C28" s="26">
        <v>2568.3085408999968</v>
      </c>
      <c r="D28" s="2">
        <v>1246.8779999999999</v>
      </c>
      <c r="E28" s="5">
        <v>2532.8550979199972</v>
      </c>
      <c r="F28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2.6257108684814441E-8</v>
      </c>
      <c r="G28" s="1"/>
    </row>
    <row r="29" spans="1:7" x14ac:dyDescent="0.25">
      <c r="A29" s="11">
        <v>2015</v>
      </c>
      <c r="B29" s="74">
        <f>'Balanza c 03'!B26</f>
        <v>52.829897000000003</v>
      </c>
      <c r="C29" s="3">
        <v>2443.4283642899991</v>
      </c>
      <c r="D29" s="2">
        <v>520.46799999999996</v>
      </c>
      <c r="E29" s="5">
        <v>2376.0279714999997</v>
      </c>
      <c r="F29" s="99">
        <f>(Tabla19101113314562[[#This Row],[Total Balanza Comercial de Colombia (US$ millones)]]/1000000)/(Tabla19101113314562[[#This Row],[Total exportaciones de Colombia hacia el mundo
  (US$ millones FOB)]]+Tabla19101113314562[[#This Row],[Total Importaciones Colombia (US$millones CIF)]]/1000000)</f>
        <v>2.1621196839459055E-8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20</v>
      </c>
      <c r="C33" s="29" t="s">
        <v>121</v>
      </c>
      <c r="D33" s="29" t="s">
        <v>159</v>
      </c>
      <c r="E33" s="29" t="s">
        <v>160</v>
      </c>
      <c r="F33" s="29" t="s">
        <v>23</v>
      </c>
      <c r="G33" s="28" t="s">
        <v>24</v>
      </c>
    </row>
    <row r="34" spans="1:17" x14ac:dyDescent="0.25">
      <c r="A34" s="31">
        <v>1991</v>
      </c>
      <c r="B34" s="73">
        <f>'Participación Mundial 03'!C6</f>
        <v>63.441144000000001</v>
      </c>
      <c r="C34" s="26">
        <v>2823.8</v>
      </c>
      <c r="D34" s="27">
        <v>171.05982399999999</v>
      </c>
      <c r="E34" s="27">
        <v>7.2686346239999997</v>
      </c>
      <c r="F34" s="127">
        <f>((Tabla1910111314324663[[#This Row],[Total exportaciones del grupo
 a USA (US$ millones)]]*1000)/(Tabla1910111314324663[[#This Row],[Total exportaciones
 a USA (US$ miles)]])/((D34/1000)/E34))</f>
        <v>954.64497204858253</v>
      </c>
      <c r="G34" s="98" t="str">
        <f>IF(Tabla1910111314324663[[#This Row],[Indice de Balassa]]&gt;0.33,"VENTAJA","NO VENTAJA")</f>
        <v>VENTAJA</v>
      </c>
    </row>
    <row r="35" spans="1:17" x14ac:dyDescent="0.25">
      <c r="A35" s="31">
        <v>1992</v>
      </c>
      <c r="B35" s="73">
        <f>'Participación Mundial 03'!C7</f>
        <v>48.238895999999997</v>
      </c>
      <c r="C35" s="26">
        <v>2722.5</v>
      </c>
      <c r="D35" s="27">
        <v>167.14105599999999</v>
      </c>
      <c r="E35" s="27">
        <v>6.9160427520000001</v>
      </c>
      <c r="F35" s="127">
        <f>((Tabla1910111314324663[[#This Row],[Total exportaciones del grupo
 a USA (US$ millones)]]*1000)/(Tabla1910111314324663[[#This Row],[Total exportaciones
 a USA (US$ miles)]])/((D35/1000)/E35))</f>
        <v>733.16884008466832</v>
      </c>
      <c r="G35" s="98" t="str">
        <f>IF(Tabla1910111314324663[[#This Row],[Indice de Balassa]]&gt;0.33,"VENTAJA","NO VENTAJA")</f>
        <v>VENTAJA</v>
      </c>
    </row>
    <row r="36" spans="1:17" x14ac:dyDescent="0.25">
      <c r="A36" s="31">
        <v>1993</v>
      </c>
      <c r="B36" s="73">
        <f>'Participación Mundial 03'!C8</f>
        <v>63.864524000000003</v>
      </c>
      <c r="C36" s="26">
        <v>2850.21</v>
      </c>
      <c r="D36" s="27">
        <v>157.329216</v>
      </c>
      <c r="E36" s="27">
        <v>7.1234385920000003</v>
      </c>
      <c r="F36" s="127">
        <f>((Tabla1910111314324663[[#This Row],[Total exportaciones del grupo
 a USA (US$ millones)]]*1000)/(Tabla1910111314324663[[#This Row],[Total exportaciones
 a USA (US$ miles)]])/((D36/1000)/E36))</f>
        <v>1014.5258713561667</v>
      </c>
      <c r="G36" s="98" t="str">
        <f>IF(Tabla1910111314324663[[#This Row],[Indice de Balassa]]&gt;0.33,"VENTAJA","NO VENTAJA")</f>
        <v>VENTAJA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f>'Participación Mundial 03'!C9</f>
        <v>84.264263999999997</v>
      </c>
      <c r="C37" s="26">
        <v>3164.92</v>
      </c>
      <c r="D37" s="27">
        <v>246.518496</v>
      </c>
      <c r="E37" s="27">
        <v>8.5375165440000007</v>
      </c>
      <c r="F37" s="127">
        <f>((Tabla1910111314324663[[#This Row],[Total exportaciones del grupo
 a USA (US$ millones)]]*1000)/(Tabla1910111314324663[[#This Row],[Total exportaciones
 a USA (US$ miles)]])/((D37/1000)/E37))</f>
        <v>922.06756174709096</v>
      </c>
      <c r="G37" s="98" t="str">
        <f>IF(Tabla1910111314324663[[#This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>
        <f>'Participación Mundial 03'!C10</f>
        <v>86.595408000000006</v>
      </c>
      <c r="C38" s="26">
        <v>3627.72</v>
      </c>
      <c r="D38" s="27">
        <v>242.44897599999999</v>
      </c>
      <c r="E38" s="27">
        <v>10.201048064</v>
      </c>
      <c r="F38" s="127">
        <f>((Tabla1910111314324663[[#This Row],[Total exportaciones del grupo
 a USA (US$ millones)]]*1000)/(Tabla1910111314324663[[#This Row],[Total exportaciones
 a USA (US$ miles)]])/((D38/1000)/E38))</f>
        <v>1004.3510618864098</v>
      </c>
      <c r="G38" s="98" t="str">
        <f>IF(Tabla1910111314324663[[#This Row],[Indice de Balassa]]&gt;0.33,"VENTAJA","NO VENTAJA")</f>
        <v>VENTAJA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f>'Participación Mundial 03'!C11</f>
        <v>73.860624000000001</v>
      </c>
      <c r="C39" s="26">
        <v>4282.93</v>
      </c>
      <c r="D39" s="27">
        <v>199.945808</v>
      </c>
      <c r="E39" s="27">
        <v>10.647555071999999</v>
      </c>
      <c r="F39" s="127">
        <f>((Tabla1910111314324663[[#This Row],[Total exportaciones del grupo
 a USA (US$ millones)]]*1000)/(Tabla1910111314324663[[#This Row],[Total exportaciones
 a USA (US$ miles)]])/((D39/1000)/E39))</f>
        <v>918.35287045524785</v>
      </c>
      <c r="G39" s="98" t="str">
        <f>IF(Tabla1910111314324663[[#This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>
        <f>'Participación Mundial 03'!C12</f>
        <v>66.271575999999996</v>
      </c>
      <c r="C40" s="26">
        <v>4379.28</v>
      </c>
      <c r="D40" s="27">
        <v>218.404304</v>
      </c>
      <c r="E40" s="27">
        <v>11.549019136</v>
      </c>
      <c r="F40" s="127">
        <f>((Tabla1910111314324663[[#This Row],[Total exportaciones del grupo
 a USA (US$ millones)]]*1000)/(Tabla1910111314324663[[#This Row],[Total exportaciones
 a USA (US$ miles)]])/((D40/1000)/E40))</f>
        <v>800.21832638811793</v>
      </c>
      <c r="G40" s="98" t="str">
        <f>IF(Tabla1910111314324663[[#This Row],[Indice de Balassa]]&gt;0.33,"VENTAJA","NO VENTAJA")</f>
        <v>VENTAJA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>
        <f>'Participación Mundial 03'!C13</f>
        <v>40.257060000000003</v>
      </c>
      <c r="C41" s="26">
        <v>4139.68</v>
      </c>
      <c r="D41" s="27">
        <v>209.554272</v>
      </c>
      <c r="E41" s="27">
        <v>10.8212224</v>
      </c>
      <c r="F41" s="127">
        <f>((Tabla1910111314324663[[#This Row],[Total exportaciones del grupo
 a USA (US$ millones)]]*1000)/(Tabla1910111314324663[[#This Row],[Total exportaciones
 a USA (US$ miles)]])/((D41/1000)/E41))</f>
        <v>502.17499940196655</v>
      </c>
      <c r="G41" s="98" t="str">
        <f>IF(Tabla1910111314324663[[#This Row],[Indice de Balassa]]&gt;0.33,"VENTAJA","NO VENTAJA")</f>
        <v>VENTAJA</v>
      </c>
      <c r="M41" t="s">
        <v>101</v>
      </c>
    </row>
    <row r="42" spans="1:17" x14ac:dyDescent="0.25">
      <c r="A42" s="31">
        <v>1999</v>
      </c>
      <c r="B42" s="73">
        <f>'Participación Mundial 03'!C14</f>
        <v>50.189104</v>
      </c>
      <c r="C42" s="26">
        <v>5817.43</v>
      </c>
      <c r="D42" s="27">
        <v>183.703024</v>
      </c>
      <c r="E42" s="27">
        <v>11.617030143999999</v>
      </c>
      <c r="F42" s="127">
        <f>((Tabla1910111314324663[[#This Row],[Total exportaciones del grupo
 a USA (US$ millones)]]*1000)/(Tabla1910111314324663[[#This Row],[Total exportaciones
 a USA (US$ miles)]])/((D42/1000)/E42))</f>
        <v>545.57829863228471</v>
      </c>
      <c r="G42" s="98" t="str">
        <f>IF(Tabla1910111314324663[[#This Row],[Indice de Balassa]]&gt;0.33,"VENTAJA","NO VENTAJA")</f>
        <v>VENTAJA</v>
      </c>
    </row>
    <row r="43" spans="1:17" x14ac:dyDescent="0.25">
      <c r="A43" s="31">
        <v>2000</v>
      </c>
      <c r="B43" s="73">
        <f>'Participación Mundial 03'!C15</f>
        <v>46.924646000000003</v>
      </c>
      <c r="C43" s="26">
        <v>6632.13</v>
      </c>
      <c r="D43" s="27">
        <v>191.76193599999999</v>
      </c>
      <c r="E43" s="27">
        <v>13.158400846999999</v>
      </c>
      <c r="F43" s="127">
        <f>((Tabla1910111314324663[[#This Row],[Total exportaciones del grupo
 a USA (US$ millones)]]*1000)/(Tabla1910111314324663[[#This Row],[Total exportaciones
 a USA (US$ miles)]])/((D43/1000)/E43))</f>
        <v>485.49938170180872</v>
      </c>
      <c r="G43" s="98" t="str">
        <f>IF(Tabla1910111314324663[[#This Row],[Indice de Balassa]]&gt;0.33,"VENTAJA","NO VENTAJA")</f>
        <v>VENTAJA</v>
      </c>
    </row>
    <row r="44" spans="1:17" x14ac:dyDescent="0.25">
      <c r="A44" s="31">
        <v>2001</v>
      </c>
      <c r="B44" s="73">
        <f>'Participación Mundial 03'!C16</f>
        <v>45.705840000000002</v>
      </c>
      <c r="C44" s="26">
        <v>5344.53</v>
      </c>
      <c r="D44" s="27">
        <v>174.977609</v>
      </c>
      <c r="E44" s="27">
        <v>12.301486486</v>
      </c>
      <c r="F44" s="127">
        <f>((Tabla1910111314324663[[#This Row],[Total exportaciones del grupo
 a USA (US$ millones)]]*1000)/(Tabla1910111314324663[[#This Row],[Total exportaciones
 a USA (US$ miles)]])/((D44/1000)/E44))</f>
        <v>601.2253610991944</v>
      </c>
      <c r="G44" s="98" t="str">
        <f>IF(Tabla1910111314324663[[#This Row],[Indice de Balassa]]&gt;0.33,"VENTAJA","NO VENTAJA")</f>
        <v>VENTAJA</v>
      </c>
    </row>
    <row r="45" spans="1:17" x14ac:dyDescent="0.25">
      <c r="A45" s="31">
        <v>2002</v>
      </c>
      <c r="B45" s="73">
        <f>'Participación Mundial 03'!C17</f>
        <v>40.696807</v>
      </c>
      <c r="C45" s="26">
        <v>5328.47</v>
      </c>
      <c r="D45" s="27">
        <v>166.123546</v>
      </c>
      <c r="E45" s="27">
        <v>11.897488381000001</v>
      </c>
      <c r="F45" s="127">
        <f>((Tabla1910111314324663[[#This Row],[Total exportaciones del grupo
 a USA (US$ millones)]]*1000)/(Tabla1910111314324663[[#This Row],[Total exportaciones
 a USA (US$ miles)]])/((D45/1000)/E45))</f>
        <v>546.99317575439932</v>
      </c>
      <c r="G45" s="98" t="str">
        <f>IF(Tabla1910111314324663[[#This Row],[Indice de Balassa]]&gt;0.33,"VENTAJA","NO VENTAJA")</f>
        <v>VENTAJA</v>
      </c>
    </row>
    <row r="46" spans="1:17" x14ac:dyDescent="0.25">
      <c r="A46" s="31">
        <v>2003</v>
      </c>
      <c r="B46" s="73">
        <f>'Participación Mundial 03'!C18</f>
        <v>32.985366999999997</v>
      </c>
      <c r="C46" s="26">
        <v>6160.2</v>
      </c>
      <c r="D46" s="27">
        <v>159.925453</v>
      </c>
      <c r="E46" s="27">
        <v>13.092218068999999</v>
      </c>
      <c r="F46" s="127">
        <f>((Tabla1910111314324663[[#This Row],[Total exportaciones del grupo
 a USA (US$ millones)]]*1000)/(Tabla1910111314324663[[#This Row],[Total exportaciones
 a USA (US$ miles)]])/((D46/1000)/E46))</f>
        <v>438.35114871081691</v>
      </c>
      <c r="G46" s="98" t="str">
        <f>IF(Tabla1910111314324663[[#This Row],[Indice de Balassa]]&gt;0.33,"VENTAJA","NO VENTAJA")</f>
        <v>VENTAJA</v>
      </c>
    </row>
    <row r="47" spans="1:17" x14ac:dyDescent="0.25">
      <c r="A47" s="31">
        <v>2004</v>
      </c>
      <c r="B47" s="73">
        <f>'Participación Mundial 03'!C19</f>
        <v>31.343896999999998</v>
      </c>
      <c r="C47" s="26">
        <v>7042.2</v>
      </c>
      <c r="D47" s="27">
        <v>159.77301900000001</v>
      </c>
      <c r="E47" s="27">
        <v>16.729677706</v>
      </c>
      <c r="F47" s="127">
        <f>((Tabla1910111314324663[[#This Row],[Total exportaciones del grupo
 a USA (US$ millones)]]*1000)/(Tabla1910111314324663[[#This Row],[Total exportaciones
 a USA (US$ miles)]])/((D47/1000)/E47))</f>
        <v>466.04598350920099</v>
      </c>
      <c r="G47" s="98" t="str">
        <f>IF(Tabla1910111314324663[[#This Row],[Indice de Balassa]]&gt;0.33,"VENTAJA","NO VENTAJA")</f>
        <v>VENTAJA</v>
      </c>
    </row>
    <row r="48" spans="1:17" x14ac:dyDescent="0.25">
      <c r="A48" s="31">
        <v>2005</v>
      </c>
      <c r="B48" s="73">
        <f>'Participación Mundial 03'!C20</f>
        <v>31.474772999999999</v>
      </c>
      <c r="C48" s="26">
        <v>8851.6299999999992</v>
      </c>
      <c r="D48" s="27">
        <v>180.65820400000001</v>
      </c>
      <c r="E48" s="27">
        <v>21.190438735000001</v>
      </c>
      <c r="F48" s="127">
        <f>((Tabla1910111314324663[[#This Row],[Total exportaciones del grupo
 a USA (US$ millones)]]*1000)/(Tabla1910111314324663[[#This Row],[Total exportaciones
 a USA (US$ miles)]])/((D48/1000)/E48))</f>
        <v>417.08216071935857</v>
      </c>
      <c r="G48" s="98" t="str">
        <f>IF(Tabla1910111314324663[[#This Row],[Indice de Balassa]]&gt;0.33,"VENTAJA","NO VENTAJA")</f>
        <v>VENTAJA</v>
      </c>
    </row>
    <row r="49" spans="1:25" x14ac:dyDescent="0.25">
      <c r="A49" s="31">
        <v>2006</v>
      </c>
      <c r="B49" s="73">
        <f>'Participación Mundial 03'!C21</f>
        <v>27.746327999999998</v>
      </c>
      <c r="C49" s="26">
        <v>9948.23</v>
      </c>
      <c r="D49" s="27">
        <v>165.01625799999999</v>
      </c>
      <c r="E49" s="27">
        <v>24.390975102999999</v>
      </c>
      <c r="F49" s="127">
        <f>((Tabla1910111314324663[[#This Row],[Total exportaciones del grupo
 a USA (US$ millones)]]*1000)/(Tabla1910111314324663[[#This Row],[Total exportaciones
 a USA (US$ miles)]])/((D49/1000)/E49))</f>
        <v>412.25138822431961</v>
      </c>
      <c r="G49" s="98" t="str">
        <f>IF(Tabla1910111314324663[[#This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f>'Participación Mundial 03'!C22</f>
        <v>18.709197</v>
      </c>
      <c r="C50" s="26">
        <v>10609.17</v>
      </c>
      <c r="D50" s="26">
        <v>188.30421799999999</v>
      </c>
      <c r="E50" s="26">
        <v>29.991332</v>
      </c>
      <c r="F50" s="127">
        <f>((Tabla1910111314324663[[#This Row],[Total exportaciones del grupo
 a USA (US$ millones)]]*1000)/(Tabla1910111314324663[[#This Row],[Total exportaciones
 a USA (US$ miles)]])/((D50/1000)/E50))</f>
        <v>280.87264596260098</v>
      </c>
      <c r="G50" s="98" t="str">
        <f>IF(Tabla1910111314324663[[#This Row],[Indice de Balassa]]&gt;0.33,"VENTAJA","NO VENTAJA")</f>
        <v>VENTAJA</v>
      </c>
    </row>
    <row r="51" spans="1:25" x14ac:dyDescent="0.25">
      <c r="A51" s="31">
        <v>2008</v>
      </c>
      <c r="B51" s="73">
        <f>'Participación Mundial 03'!C23</f>
        <v>26.364070000000002</v>
      </c>
      <c r="C51" s="26">
        <v>14288.83</v>
      </c>
      <c r="D51" s="26">
        <v>239.58555899999999</v>
      </c>
      <c r="E51" s="26">
        <v>37.625882064999999</v>
      </c>
      <c r="F51" s="127">
        <f>((Tabla1910111314324663[[#This Row],[Total exportaciones del grupo
 a USA (US$ millones)]]*1000)/(Tabla1910111314324663[[#This Row],[Total exportaciones
 a USA (US$ miles)]])/((D51/1000)/E51))</f>
        <v>289.76227267198658</v>
      </c>
      <c r="G51" s="98" t="str">
        <f>IF(Tabla1910111314324663[[#This Row],[Indice de Balassa]]&gt;0.33,"VENTAJA","NO VENTAJA")</f>
        <v>VENTAJA</v>
      </c>
    </row>
    <row r="52" spans="1:25" x14ac:dyDescent="0.25">
      <c r="A52" s="31">
        <v>2009</v>
      </c>
      <c r="B52" s="73">
        <f>'Participación Mundial 03'!C24</f>
        <v>31.324175</v>
      </c>
      <c r="C52" s="26">
        <v>13123.47</v>
      </c>
      <c r="D52" s="26">
        <v>207.218932</v>
      </c>
      <c r="E52" s="26">
        <v>32.852985836999999</v>
      </c>
      <c r="F52" s="127">
        <f>((Tabla1910111314324663[[#This Row],[Total exportaciones del grupo
 a USA (US$ millones)]]*1000)/(Tabla1910111314324663[[#This Row],[Total exportaciones
 a USA (US$ miles)]])/((D52/1000)/E52))</f>
        <v>378.42199785845048</v>
      </c>
      <c r="G52" s="98" t="str">
        <f>IF(Tabla1910111314324663[[#This Row],[Indice de Balassa]]&gt;0.33,"VENTAJA","NO VENTAJA")</f>
        <v>VENTAJA</v>
      </c>
    </row>
    <row r="53" spans="1:25" x14ac:dyDescent="0.25">
      <c r="A53" s="31">
        <v>2010</v>
      </c>
      <c r="B53" s="73">
        <f>'Participación Mundial 03'!C25</f>
        <v>49.722799000000002</v>
      </c>
      <c r="C53" s="26">
        <v>17143.28</v>
      </c>
      <c r="D53" s="26">
        <v>178.916507</v>
      </c>
      <c r="E53" s="26">
        <v>39.819528642000002</v>
      </c>
      <c r="F53" s="127">
        <f>((Tabla1910111314324663[[#This Row],[Total exportaciones del grupo
 a USA (US$ millones)]]*1000)/(Tabla1910111314324663[[#This Row],[Total exportaciones
 a USA (US$ miles)]])/((D53/1000)/E53))</f>
        <v>645.51650860494806</v>
      </c>
      <c r="G53" s="98" t="str">
        <f>IF(Tabla1910111314324663[[#This Row],[Indice de Balassa]]&gt;0.33,"VENTAJA","NO VENTAJA")</f>
        <v>VENTAJA</v>
      </c>
    </row>
    <row r="54" spans="1:25" x14ac:dyDescent="0.25">
      <c r="A54" s="31">
        <v>2011</v>
      </c>
      <c r="B54" s="73">
        <f>'Participación Mundial 03'!C26</f>
        <v>52.138390999999999</v>
      </c>
      <c r="C54" s="26">
        <v>21948.53</v>
      </c>
      <c r="D54" s="26">
        <v>188.05051800000001</v>
      </c>
      <c r="E54" s="26">
        <v>56.953516086</v>
      </c>
      <c r="F54" s="127">
        <f>((Tabla1910111314324663[[#This Row],[Total exportaciones del grupo
 a USA (US$ millones)]]*1000)/(Tabla1910111314324663[[#This Row],[Total exportaciones
 a USA (US$ miles)]])/((D54/1000)/E54))</f>
        <v>719.44598407784065</v>
      </c>
      <c r="G54" s="98" t="str">
        <f>IF(Tabla1910111314324663[[#This Row],[Indice de Balassa]]&gt;0.33,"VENTAJA","NO VENTAJA")</f>
        <v>VENTAJA</v>
      </c>
    </row>
    <row r="55" spans="1:25" x14ac:dyDescent="0.25">
      <c r="A55" s="31">
        <v>2012</v>
      </c>
      <c r="B55" s="73">
        <f>'Participación Mundial 03'!C27</f>
        <v>70.997045</v>
      </c>
      <c r="C55" s="26">
        <v>22216.240000000002</v>
      </c>
      <c r="D55" s="26">
        <v>200.46818099999999</v>
      </c>
      <c r="E55" s="26">
        <v>60.273618167999999</v>
      </c>
      <c r="F55" s="127">
        <f>((Tabla1910111314324663[[#This Row],[Total exportaciones del grupo
 a USA (US$ millones)]]*1000)/(Tabla1910111314324663[[#This Row],[Total exportaciones
 a USA (US$ miles)]])/((D55/1000)/E55))</f>
        <v>960.84100219819811</v>
      </c>
      <c r="G55" s="98" t="str">
        <f>IF(Tabla1910111314324663[[#This Row],[Indice de Balassa]]&gt;0.33,"VENTAJA","NO VENTAJA")</f>
        <v>VENTAJA</v>
      </c>
    </row>
    <row r="56" spans="1:25" x14ac:dyDescent="0.25">
      <c r="A56" s="31">
        <v>2013</v>
      </c>
      <c r="B56" s="73">
        <f>'Participación Mundial 03'!C28</f>
        <v>62.781016999999999</v>
      </c>
      <c r="C56" s="26">
        <v>18692.900000000001</v>
      </c>
      <c r="D56" s="26">
        <v>191.550792</v>
      </c>
      <c r="E56" s="26">
        <v>58.821869986999999</v>
      </c>
      <c r="F56" s="127">
        <f>((Tabla1910111314324663[[#This Row],[Total exportaciones del grupo
 a USA (US$ millones)]]*1000)/(Tabla1910111314324663[[#This Row],[Total exportaciones
 a USA (US$ miles)]])/((D56/1000)/E56))</f>
        <v>1031.351106541304</v>
      </c>
      <c r="G56" s="98" t="str">
        <f>IF(Tabla1910111314324663[[#This Row],[Indice de Balassa]]&gt;0.33,"VENTAJA","NO VENTAJA")</f>
        <v>VENTAJA</v>
      </c>
    </row>
    <row r="57" spans="1:25" x14ac:dyDescent="0.25">
      <c r="A57" s="31">
        <v>2014</v>
      </c>
      <c r="B57" s="73">
        <f>'Participación Mundial 03'!C29</f>
        <v>79.216997000000006</v>
      </c>
      <c r="C57" s="26">
        <v>14470.7</v>
      </c>
      <c r="D57" s="26">
        <v>219.018081</v>
      </c>
      <c r="E57" s="26">
        <v>54.794812014999998</v>
      </c>
      <c r="F57" s="127">
        <f>((Tabla1910111314324663[[#This Row],[Total exportaciones del grupo
 a USA (US$ millones)]]*1000)/(Tabla1910111314324663[[#This Row],[Total exportaciones
 a USA (US$ miles)]])/((D57/1000)/E57))</f>
        <v>1369.5828427353861</v>
      </c>
      <c r="G57" s="98" t="str">
        <f>IF(Tabla1910111314324663[[#This Row],[Indice de Balassa]]&gt;0.33,"VENTAJA","NO VENTAJA")</f>
        <v>VENTAJA</v>
      </c>
    </row>
    <row r="58" spans="1:25" x14ac:dyDescent="0.25">
      <c r="A58" s="31">
        <v>2015</v>
      </c>
      <c r="B58" s="73">
        <f>'Participación Mundial 03'!C30</f>
        <v>68.660020000000003</v>
      </c>
      <c r="C58" s="3">
        <v>14074</v>
      </c>
      <c r="D58" s="3">
        <v>166.840057</v>
      </c>
      <c r="E58" s="3">
        <v>35.690766592999999</v>
      </c>
      <c r="F58" s="127">
        <f>((Tabla1910111314324663[[#This Row],[Total exportaciones del grupo
 a USA (US$ millones)]]*1000)/(Tabla1910111314324663[[#This Row],[Total exportaciones
 a USA (US$ miles)]])/((D58/1000)/E58))</f>
        <v>1043.6188757670413</v>
      </c>
      <c r="G58" s="98" t="str">
        <f>IF(Tabla1910111314324663[[#This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28" t="s">
        <v>24</v>
      </c>
    </row>
    <row r="63" spans="1:25" x14ac:dyDescent="0.25">
      <c r="A63" s="31">
        <v>1991</v>
      </c>
      <c r="B63" s="73">
        <f>'Balanza c 03'!B2</f>
        <v>62.638339000000002</v>
      </c>
      <c r="C63" s="84">
        <f>'Apertura 03'!B125</f>
        <v>64.243949000000001</v>
      </c>
      <c r="D63" s="32">
        <f>1-(Tabla191011131412334764[[#This Row],[Balanza Comercial Colombia 
( US$ millones)]]/Tabla191011131412334764[[#This Row],[Balanza Comercial Absoluta Colombia 
(US$ millones)]])</f>
        <v>2.4992392668763186E-2</v>
      </c>
      <c r="E63" s="2" t="str">
        <f t="shared" ref="E63:E87" si="0">IF(D63&gt;0.1&lt;0.33,"POTENCIAL CMRCIO INT",IF(D63&gt;0.33,"INDICIOS DE CMRCIO INT",IF(D63&lt;0.1,"REL. INTERINDUSTRIALES")))</f>
        <v>REL. INTERINDUSTRIALES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>
        <f>'Balanza c 03'!B3</f>
        <v>47.426603999999998</v>
      </c>
      <c r="C64" s="84">
        <f>'Apertura 03'!B126</f>
        <v>49.051187999999996</v>
      </c>
      <c r="D64" s="32">
        <f>1-(Tabla191011131412334764[[#This Row],[Balanza Comercial Colombia 
( US$ millones)]]/Tabla191011131412334764[[#This Row],[Balanza Comercial Absoluta Colombia 
(US$ millones)]])</f>
        <v>3.3120176416522207E-2</v>
      </c>
      <c r="E64" s="2" t="str">
        <f t="shared" si="0"/>
        <v>REL. INTERINDUSTRIALES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>
        <f>'Balanza c 03'!B4</f>
        <v>62.939202000000002</v>
      </c>
      <c r="C65" s="84">
        <f>'Apertura 03'!B127</f>
        <v>64.789846000000011</v>
      </c>
      <c r="D65" s="32">
        <f>1-(Tabla191011131412334764[[#This Row],[Balanza Comercial Colombia 
( US$ millones)]]/Tabla191011131412334764[[#This Row],[Balanza Comercial Absoluta Colombia 
(US$ millones)]])</f>
        <v>2.8563796864095159E-2</v>
      </c>
      <c r="E65" s="2" t="str">
        <f t="shared" si="0"/>
        <v>REL. INTERINDUSTRIALES</v>
      </c>
      <c r="K65" s="49"/>
      <c r="M65" s="49"/>
      <c r="O65" s="49"/>
    </row>
    <row r="66" spans="1:15" x14ac:dyDescent="0.25">
      <c r="A66" s="31">
        <v>1994</v>
      </c>
      <c r="B66" s="73">
        <f>'Balanza c 03'!B5</f>
        <v>83.067363</v>
      </c>
      <c r="C66" s="84">
        <f>'Apertura 03'!B128</f>
        <v>85.461164999999994</v>
      </c>
      <c r="D66" s="32">
        <f>1-(Tabla191011131412334764[[#This Row],[Balanza Comercial Colombia 
( US$ millones)]]/Tabla191011131412334764[[#This Row],[Balanza Comercial Absoluta Colombia 
(US$ millones)]])</f>
        <v>2.8010406832155832E-2</v>
      </c>
      <c r="E66" s="2" t="str">
        <f t="shared" si="0"/>
        <v>REL. INTERINDUSTRIALES</v>
      </c>
      <c r="K66" s="49"/>
      <c r="M66" s="52" t="s">
        <v>136</v>
      </c>
      <c r="O66" s="49"/>
    </row>
    <row r="67" spans="1:15" x14ac:dyDescent="0.25">
      <c r="A67" s="31">
        <v>1995</v>
      </c>
      <c r="B67" s="73">
        <f>'Balanza c 03'!B6</f>
        <v>85.367000000000004</v>
      </c>
      <c r="C67" s="84">
        <f>'Apertura 03'!B129</f>
        <v>87.823816000000008</v>
      </c>
      <c r="D67" s="32">
        <f>1-(Tabla191011131412334764[[#This Row],[Balanza Comercial Colombia 
( US$ millones)]]/Tabla191011131412334764[[#This Row],[Balanza Comercial Absoluta Colombia 
(US$ millones)]])</f>
        <v>2.7974370869970011E-2</v>
      </c>
      <c r="E67" s="2" t="str">
        <f t="shared" si="0"/>
        <v>REL. INTERINDUSTRIALES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03'!B7</f>
        <v>72.479942000000008</v>
      </c>
      <c r="C68" s="84">
        <f>'Apertura 03'!B130</f>
        <v>75.241305999999994</v>
      </c>
      <c r="D68" s="32">
        <f>1-(Tabla191011131412334764[[#This Row],[Balanza Comercial Colombia 
( US$ millones)]]/Tabla191011131412334764[[#This Row],[Balanza Comercial Absoluta Colombia 
(US$ millones)]])</f>
        <v>3.6700107252258252E-2</v>
      </c>
      <c r="E68" s="2" t="str">
        <f t="shared" si="0"/>
        <v>REL. INTERINDUSTRIALES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>
        <f>'Balanza c 03'!B8</f>
        <v>64.756554999999992</v>
      </c>
      <c r="C69" s="84">
        <f>'Apertura 03'!B131</f>
        <v>67.786597</v>
      </c>
      <c r="D69" s="32">
        <f>1-(Tabla191011131412334764[[#This Row],[Balanza Comercial Colombia 
( US$ millones)]]/Tabla191011131412334764[[#This Row],[Balanza Comercial Absoluta Colombia 
(US$ millones)]])</f>
        <v>4.4699721391826319E-2</v>
      </c>
      <c r="E69" s="2" t="str">
        <f t="shared" si="0"/>
        <v>REL. INTERINDUSTRIALES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>
        <f>'Balanza c 03'!B9</f>
        <v>38.053021000000001</v>
      </c>
      <c r="C70" s="84">
        <f>'Apertura 03'!B132</f>
        <v>42.461099000000004</v>
      </c>
      <c r="D70" s="32">
        <f>1-(Tabla191011131412334764[[#This Row],[Balanza Comercial Colombia 
( US$ millones)]]/Tabla191011131412334764[[#This Row],[Balanza Comercial Absoluta Colombia 
(US$ millones)]])</f>
        <v>0.10381450560193939</v>
      </c>
      <c r="E70" s="2" t="s">
        <v>157</v>
      </c>
    </row>
    <row r="71" spans="1:15" x14ac:dyDescent="0.25">
      <c r="A71" s="31">
        <v>1999</v>
      </c>
      <c r="B71" s="73">
        <f>'Balanza c 03'!B10</f>
        <v>49.096153000000001</v>
      </c>
      <c r="C71" s="84">
        <f>'Apertura 03'!B133</f>
        <v>51.282055</v>
      </c>
      <c r="D71" s="32">
        <f>1-(Tabla191011131412334764[[#This Row],[Balanza Comercial Colombia 
( US$ millones)]]/Tabla191011131412334764[[#This Row],[Balanza Comercial Absoluta Colombia 
(US$ millones)]])</f>
        <v>4.2625085909681282E-2</v>
      </c>
      <c r="E71" s="2" t="str">
        <f t="shared" si="0"/>
        <v>REL. INTERINDUSTRIALES</v>
      </c>
    </row>
    <row r="72" spans="1:15" x14ac:dyDescent="0.25">
      <c r="A72" s="31">
        <v>2000</v>
      </c>
      <c r="B72" s="73">
        <f>'Balanza c 03'!B11</f>
        <v>45.906714000000001</v>
      </c>
      <c r="C72" s="84">
        <f>'Apertura 03'!B134</f>
        <v>47.942578000000005</v>
      </c>
      <c r="D72" s="32">
        <f>1-(Tabla191011131412334764[[#This Row],[Balanza Comercial Colombia 
( US$ millones)]]/Tabla191011131412334764[[#This Row],[Balanza Comercial Absoluta Colombia 
(US$ millones)]])</f>
        <v>4.2464633420422282E-2</v>
      </c>
      <c r="E72" s="2" t="str">
        <f t="shared" si="0"/>
        <v>REL. INTERINDUSTRIALES</v>
      </c>
    </row>
    <row r="73" spans="1:15" x14ac:dyDescent="0.25">
      <c r="A73" s="31">
        <v>2001</v>
      </c>
      <c r="B73" s="73">
        <f>'Balanza c 03'!B12</f>
        <v>44.749546000000002</v>
      </c>
      <c r="C73" s="84">
        <f>'Apertura 03'!B135</f>
        <v>46.662134000000009</v>
      </c>
      <c r="D73" s="32">
        <f>1-(Tabla191011131412334764[[#This Row],[Balanza Comercial Colombia 
( US$ millones)]]/Tabla191011131412334764[[#This Row],[Balanza Comercial Absoluta Colombia 
(US$ millones)]])</f>
        <v>4.0988009678254445E-2</v>
      </c>
      <c r="E73" s="2" t="str">
        <f t="shared" si="0"/>
        <v>REL. INTERINDUSTRIALES</v>
      </c>
    </row>
    <row r="74" spans="1:15" x14ac:dyDescent="0.25">
      <c r="A74" s="31">
        <v>2002</v>
      </c>
      <c r="B74" s="73">
        <f>'Balanza c 03'!B13</f>
        <v>39.875973000000002</v>
      </c>
      <c r="C74" s="84">
        <f>'Apertura 03'!B136</f>
        <v>41.517641000000005</v>
      </c>
      <c r="D74" s="32">
        <f>1-(Tabla191011131412334764[[#This Row],[Balanza Comercial Colombia 
( US$ millones)]]/Tabla191011131412334764[[#This Row],[Balanza Comercial Absoluta Colombia 
(US$ millones)]])</f>
        <v>3.9541456606361658E-2</v>
      </c>
      <c r="E74" s="2" t="str">
        <f t="shared" si="0"/>
        <v>REL. INTERINDUSTRIALES</v>
      </c>
    </row>
    <row r="75" spans="1:15" x14ac:dyDescent="0.25">
      <c r="A75" s="31">
        <v>2003</v>
      </c>
      <c r="B75" s="73">
        <f>'Balanza c 03'!B14</f>
        <v>32.477709999999995</v>
      </c>
      <c r="C75" s="84">
        <f>'Apertura 03'!B137</f>
        <v>33.493023999999998</v>
      </c>
      <c r="D75" s="32">
        <f>1-(Tabla191011131412334764[[#This Row],[Balanza Comercial Colombia 
( US$ millones)]]/Tabla191011131412334764[[#This Row],[Balanza Comercial Absoluta Colombia 
(US$ millones)]])</f>
        <v>3.0314193188408556E-2</v>
      </c>
      <c r="E75" s="2" t="str">
        <f t="shared" si="0"/>
        <v>REL. INTERINDUSTRIALES</v>
      </c>
    </row>
    <row r="76" spans="1:15" x14ac:dyDescent="0.25">
      <c r="A76" s="31">
        <v>2004</v>
      </c>
      <c r="B76" s="73">
        <f>'Balanza c 03'!B15</f>
        <v>30.615143</v>
      </c>
      <c r="C76" s="84">
        <f>'Apertura 03'!B138</f>
        <v>32.072651</v>
      </c>
      <c r="D76" s="32">
        <f>1-(Tabla191011131412334764[[#This Row],[Balanza Comercial Colombia 
( US$ millones)]]/Tabla191011131412334764[[#This Row],[Balanza Comercial Absoluta Colombia 
(US$ millones)]])</f>
        <v>4.5443951608490352E-2</v>
      </c>
      <c r="E76" s="2" t="str">
        <f t="shared" si="0"/>
        <v>REL. INTERINDUSTRIALES</v>
      </c>
    </row>
    <row r="77" spans="1:15" x14ac:dyDescent="0.25">
      <c r="A77" s="31">
        <v>2005</v>
      </c>
      <c r="B77" s="73">
        <f>'Balanza c 03'!B16</f>
        <v>30.426864999999999</v>
      </c>
      <c r="C77" s="84">
        <f>'Apertura 03'!B139</f>
        <v>32.522680999999999</v>
      </c>
      <c r="D77" s="32">
        <f>1-(Tabla191011131412334764[[#This Row],[Balanza Comercial Colombia 
( US$ millones)]]/Tabla191011131412334764[[#This Row],[Balanza Comercial Absoluta Colombia 
(US$ millones)]])</f>
        <v>6.4441673796818866E-2</v>
      </c>
      <c r="E77" s="2" t="str">
        <f t="shared" si="0"/>
        <v>REL. INTERINDUSTRIALES</v>
      </c>
    </row>
    <row r="78" spans="1:15" x14ac:dyDescent="0.25">
      <c r="A78" s="31">
        <v>2006</v>
      </c>
      <c r="B78" s="73">
        <f>'Balanza c 03'!B17</f>
        <v>26.213505999999999</v>
      </c>
      <c r="C78" s="84">
        <f>'Apertura 03'!B140</f>
        <v>29.279149999999998</v>
      </c>
      <c r="D78" s="32">
        <f>1-(Tabla191011131412334764[[#This Row],[Balanza Comercial Colombia 
( US$ millones)]]/Tabla191011131412334764[[#This Row],[Balanza Comercial Absoluta Colombia 
(US$ millones)]])</f>
        <v>0.10470399584687395</v>
      </c>
      <c r="E78" s="2" t="s">
        <v>157</v>
      </c>
    </row>
    <row r="79" spans="1:15" x14ac:dyDescent="0.25">
      <c r="A79" s="31">
        <v>2007</v>
      </c>
      <c r="B79" s="73">
        <f>'Balanza c 03'!B18</f>
        <v>17.242134</v>
      </c>
      <c r="C79" s="84">
        <f>'Apertura 03'!B141</f>
        <v>20.176260000000003</v>
      </c>
      <c r="D79" s="32">
        <f>1-(Tabla191011131412334764[[#This Row],[Balanza Comercial Colombia 
( US$ millones)]]/Tabla191011131412334764[[#This Row],[Balanza Comercial Absoluta Colombia 
(US$ millones)]])</f>
        <v>0.1454246723624697</v>
      </c>
      <c r="E79" s="2" t="s">
        <v>157</v>
      </c>
    </row>
    <row r="80" spans="1:15" x14ac:dyDescent="0.25">
      <c r="A80" s="31">
        <v>2008</v>
      </c>
      <c r="B80" s="73">
        <f>'Balanza c 03'!B19</f>
        <v>24.060525000000002</v>
      </c>
      <c r="C80" s="84">
        <f>'Apertura 03'!B142</f>
        <v>28.667615000000005</v>
      </c>
      <c r="D80" s="32">
        <f>1-(Tabla191011131412334764[[#This Row],[Balanza Comercial Colombia 
( US$ millones)]]/Tabla191011131412334764[[#This Row],[Balanza Comercial Absoluta Colombia 
(US$ millones)]])</f>
        <v>0.16070712544451304</v>
      </c>
      <c r="E80" s="2" t="s">
        <v>157</v>
      </c>
    </row>
    <row r="81" spans="1:5" x14ac:dyDescent="0.25">
      <c r="A81" s="31">
        <v>2009</v>
      </c>
      <c r="B81" s="73">
        <f>'Balanza c 03'!B20</f>
        <v>29.711566999999999</v>
      </c>
      <c r="C81" s="84">
        <f>'Apertura 03'!B143</f>
        <v>32.936782999999998</v>
      </c>
      <c r="D81" s="32">
        <f>1-(Tabla191011131412334764[[#This Row],[Balanza Comercial Colombia 
( US$ millones)]]/Tabla191011131412334764[[#This Row],[Balanza Comercial Absoluta Colombia 
(US$ millones)]])</f>
        <v>9.7921402949401548E-2</v>
      </c>
      <c r="E81" s="2" t="str">
        <f t="shared" si="0"/>
        <v>REL. INTERINDUSTRIALES</v>
      </c>
    </row>
    <row r="82" spans="1:5" x14ac:dyDescent="0.25">
      <c r="A82" s="31">
        <v>2010</v>
      </c>
      <c r="B82" s="73">
        <f>'Balanza c 03'!B21</f>
        <v>46.787745000000001</v>
      </c>
      <c r="C82" s="84">
        <f>'Apertura 03'!B144</f>
        <v>52.657853000000003</v>
      </c>
      <c r="D82" s="32">
        <f>1-(Tabla191011131412334764[[#This Row],[Balanza Comercial Colombia 
( US$ millones)]]/Tabla191011131412334764[[#This Row],[Balanza Comercial Absoluta Colombia 
(US$ millones)]])</f>
        <v>0.11147640219968713</v>
      </c>
      <c r="E82" s="2" t="s">
        <v>157</v>
      </c>
    </row>
    <row r="83" spans="1:5" x14ac:dyDescent="0.25">
      <c r="A83" s="31">
        <v>2011</v>
      </c>
      <c r="B83" s="73">
        <f>'Balanza c 03'!B22</f>
        <v>49.872636999999997</v>
      </c>
      <c r="C83" s="84">
        <f>'Apertura 03'!B145</f>
        <v>54.404145</v>
      </c>
      <c r="D83" s="32">
        <f>1-(Tabla191011131412334764[[#This Row],[Balanza Comercial Colombia 
( US$ millones)]]/Tabla191011131412334764[[#This Row],[Balanza Comercial Absoluta Colombia 
(US$ millones)]])</f>
        <v>8.3293432880895413E-2</v>
      </c>
      <c r="E83" s="2" t="str">
        <f t="shared" si="0"/>
        <v>REL. INTERINDUSTRIALES</v>
      </c>
    </row>
    <row r="84" spans="1:5" x14ac:dyDescent="0.25">
      <c r="A84" s="31">
        <v>2012</v>
      </c>
      <c r="B84" s="73">
        <f>'Balanza c 03'!B23</f>
        <v>68.787554999999998</v>
      </c>
      <c r="C84" s="84">
        <f>'Apertura 03'!B146</f>
        <v>73.206535000000002</v>
      </c>
      <c r="D84" s="32">
        <f>1-(Tabla191011131412334764[[#This Row],[Balanza Comercial Colombia 
( US$ millones)]]/Tabla191011131412334764[[#This Row],[Balanza Comercial Absoluta Colombia 
(US$ millones)]])</f>
        <v>6.0363190253438503E-2</v>
      </c>
      <c r="E84" s="2" t="str">
        <f t="shared" si="0"/>
        <v>REL. INTERINDUSTRIALES</v>
      </c>
    </row>
    <row r="85" spans="1:5" x14ac:dyDescent="0.25">
      <c r="A85" s="31">
        <v>2013</v>
      </c>
      <c r="B85" s="73">
        <f>'Balanza c 03'!B24</f>
        <v>43.658855000000003</v>
      </c>
      <c r="C85" s="84">
        <f>'Apertura 03'!B147</f>
        <v>81.903179000000009</v>
      </c>
      <c r="D85" s="32">
        <f>1-(Tabla191011131412334764[[#This Row],[Balanza Comercial Colombia 
( US$ millones)]]/Tabla191011131412334764[[#This Row],[Balanza Comercial Absoluta Colombia 
(US$ millones)]])</f>
        <v>0.46694553821897444</v>
      </c>
      <c r="E85" s="2" t="str">
        <f t="shared" si="0"/>
        <v>INDICIOS DE CMRCIO INT</v>
      </c>
    </row>
    <row r="86" spans="1:5" x14ac:dyDescent="0.25">
      <c r="A86" s="31">
        <v>2014</v>
      </c>
      <c r="B86" s="73">
        <f>'Balanza c 03'!B25</f>
        <v>67.436423000000005</v>
      </c>
      <c r="C86" s="84">
        <f>'Apertura 03'!B148</f>
        <v>90.997570999999994</v>
      </c>
      <c r="D86" s="32">
        <f>1-(Tabla191011131412334764[[#This Row],[Balanza Comercial Colombia 
( US$ millones)]]/Tabla191011131412334764[[#This Row],[Balanza Comercial Absoluta Colombia 
(US$ millones)]])</f>
        <v>0.25892062547471728</v>
      </c>
      <c r="E86" s="2" t="s">
        <v>157</v>
      </c>
    </row>
    <row r="87" spans="1:5" x14ac:dyDescent="0.25">
      <c r="A87" s="31">
        <v>2015</v>
      </c>
      <c r="B87" s="73">
        <f>'Balanza c 03'!B26</f>
        <v>52.829897000000003</v>
      </c>
      <c r="C87" s="84">
        <f>'Apertura 03'!B149</f>
        <v>84.490143000000018</v>
      </c>
      <c r="D87" s="32">
        <f>1-(Tabla191011131412334764[[#This Row],[Balanza Comercial Colombia 
( US$ millones)]]/Tabla191011131412334764[[#This Row],[Balanza Comercial Absoluta Colombia 
(US$ millones)]])</f>
        <v>0.37472117901374613</v>
      </c>
      <c r="E87" s="2" t="str">
        <f t="shared" si="0"/>
        <v>INDICIOS DE CMRCIO INT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6" priority="3" operator="lessThan">
      <formula>0</formula>
    </cfRule>
  </conditionalFormatting>
  <conditionalFormatting sqref="E63:E87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5" sqref="C5"/>
    </sheetView>
  </sheetViews>
  <sheetFormatPr baseColWidth="10" defaultRowHeight="15" x14ac:dyDescent="0.25"/>
  <cols>
    <col min="2" max="2" width="13.42578125" customWidth="1"/>
  </cols>
  <sheetData>
    <row r="1" spans="1:2" ht="60" x14ac:dyDescent="0.25">
      <c r="A1" s="34" t="s">
        <v>3</v>
      </c>
      <c r="B1" s="34" t="s">
        <v>155</v>
      </c>
    </row>
    <row r="2" spans="1:2" x14ac:dyDescent="0.25">
      <c r="A2" s="54">
        <v>1991</v>
      </c>
      <c r="B2" s="73">
        <v>5.6062079999999996</v>
      </c>
    </row>
    <row r="3" spans="1:2" x14ac:dyDescent="0.25">
      <c r="A3" s="55">
        <v>1992</v>
      </c>
      <c r="B3" s="73">
        <v>6.3740959999999998</v>
      </c>
    </row>
    <row r="4" spans="1:2" x14ac:dyDescent="0.25">
      <c r="A4" s="54">
        <v>1993</v>
      </c>
      <c r="B4" s="73">
        <v>4.4266730000000001</v>
      </c>
    </row>
    <row r="5" spans="1:2" x14ac:dyDescent="0.25">
      <c r="A5" s="55">
        <v>1994</v>
      </c>
      <c r="B5" s="73">
        <v>6.7137019999999996</v>
      </c>
    </row>
    <row r="6" spans="1:2" x14ac:dyDescent="0.25">
      <c r="A6" s="54">
        <v>1995</v>
      </c>
      <c r="B6" s="73">
        <v>5.6899280000000001</v>
      </c>
    </row>
    <row r="7" spans="1:2" x14ac:dyDescent="0.25">
      <c r="A7" s="55">
        <v>1996</v>
      </c>
      <c r="B7" s="73">
        <v>3.9406219999999998</v>
      </c>
    </row>
    <row r="8" spans="1:2" x14ac:dyDescent="0.25">
      <c r="A8" s="54">
        <v>1997</v>
      </c>
      <c r="B8" s="73">
        <v>3.3122159999999998</v>
      </c>
    </row>
    <row r="9" spans="1:2" x14ac:dyDescent="0.25">
      <c r="A9" s="55">
        <v>1998</v>
      </c>
      <c r="B9" s="73">
        <v>3.9153449999999999</v>
      </c>
    </row>
    <row r="10" spans="1:2" x14ac:dyDescent="0.25">
      <c r="A10" s="54">
        <v>1999</v>
      </c>
      <c r="B10" s="73">
        <v>5.3999639999999998</v>
      </c>
    </row>
    <row r="11" spans="1:2" x14ac:dyDescent="0.25">
      <c r="A11" s="55">
        <v>2000</v>
      </c>
      <c r="B11" s="73">
        <v>5.3925090000000004</v>
      </c>
    </row>
    <row r="12" spans="1:2" x14ac:dyDescent="0.25">
      <c r="A12" s="55">
        <v>2001</v>
      </c>
      <c r="B12" s="73">
        <v>10.118449999999999</v>
      </c>
    </row>
    <row r="13" spans="1:2" x14ac:dyDescent="0.25">
      <c r="A13" s="55">
        <v>2002</v>
      </c>
      <c r="B13" s="73">
        <v>13.404857</v>
      </c>
    </row>
    <row r="14" spans="1:2" x14ac:dyDescent="0.25">
      <c r="A14" s="54">
        <v>2003</v>
      </c>
      <c r="B14" s="73">
        <v>12.726922999999999</v>
      </c>
    </row>
    <row r="15" spans="1:2" x14ac:dyDescent="0.25">
      <c r="A15" s="55">
        <v>2004</v>
      </c>
      <c r="B15" s="73">
        <v>14.544615</v>
      </c>
    </row>
    <row r="16" spans="1:2" x14ac:dyDescent="0.25">
      <c r="A16" s="54">
        <v>2005</v>
      </c>
      <c r="B16" s="73">
        <v>18.657104</v>
      </c>
    </row>
    <row r="17" spans="1:2" x14ac:dyDescent="0.25">
      <c r="A17" s="55">
        <v>2006</v>
      </c>
      <c r="B17" s="73">
        <v>22.610883000000001</v>
      </c>
    </row>
    <row r="18" spans="1:2" x14ac:dyDescent="0.25">
      <c r="A18" s="54">
        <v>2007</v>
      </c>
      <c r="B18" s="73">
        <v>20.268450000000001</v>
      </c>
    </row>
    <row r="19" spans="1:2" x14ac:dyDescent="0.25">
      <c r="A19" s="55">
        <v>2008</v>
      </c>
      <c r="B19" s="73">
        <v>22.317267999999999</v>
      </c>
    </row>
    <row r="20" spans="1:2" x14ac:dyDescent="0.25">
      <c r="A20" s="54">
        <v>2009</v>
      </c>
      <c r="B20" s="73">
        <v>26.024861000000001</v>
      </c>
    </row>
    <row r="21" spans="1:2" x14ac:dyDescent="0.25">
      <c r="A21" s="55">
        <v>2010</v>
      </c>
      <c r="B21" s="73">
        <v>24.027443999999999</v>
      </c>
    </row>
    <row r="22" spans="1:2" x14ac:dyDescent="0.25">
      <c r="A22" s="54">
        <v>2011</v>
      </c>
      <c r="B22" s="73">
        <v>21.289726999999999</v>
      </c>
    </row>
    <row r="23" spans="1:2" x14ac:dyDescent="0.25">
      <c r="A23" s="55">
        <v>2012</v>
      </c>
      <c r="B23" s="73">
        <v>22.689461000000001</v>
      </c>
    </row>
    <row r="24" spans="1:2" x14ac:dyDescent="0.25">
      <c r="A24" s="54">
        <v>2013</v>
      </c>
      <c r="B24" s="73">
        <v>24.470265000000001</v>
      </c>
    </row>
    <row r="25" spans="1:2" x14ac:dyDescent="0.25">
      <c r="A25" s="55">
        <v>2014</v>
      </c>
      <c r="B25" s="73">
        <v>31.726458000000001</v>
      </c>
    </row>
    <row r="26" spans="1:2" x14ac:dyDescent="0.25">
      <c r="A26" s="54">
        <v>2015</v>
      </c>
      <c r="B26" s="73">
        <v>30.804566999999999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" sqref="B2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141</v>
      </c>
    </row>
    <row r="2" spans="1:2" x14ac:dyDescent="0.25">
      <c r="A2" s="54">
        <v>1991</v>
      </c>
      <c r="B2" s="73">
        <v>57.035060000000001</v>
      </c>
    </row>
    <row r="3" spans="1:2" x14ac:dyDescent="0.25">
      <c r="A3" s="55">
        <v>1992</v>
      </c>
      <c r="B3" s="73">
        <v>103.679424</v>
      </c>
    </row>
    <row r="4" spans="1:2" x14ac:dyDescent="0.25">
      <c r="A4" s="54">
        <v>1993</v>
      </c>
      <c r="B4" s="73">
        <v>102.42796</v>
      </c>
    </row>
    <row r="5" spans="1:2" x14ac:dyDescent="0.25">
      <c r="A5" s="55">
        <v>1994</v>
      </c>
      <c r="B5" s="73">
        <v>126.299536</v>
      </c>
    </row>
    <row r="6" spans="1:2" x14ac:dyDescent="0.25">
      <c r="A6" s="54">
        <v>1995</v>
      </c>
      <c r="B6" s="73">
        <v>261.17918400000002</v>
      </c>
    </row>
    <row r="7" spans="1:2" x14ac:dyDescent="0.25">
      <c r="A7" s="55">
        <v>1996</v>
      </c>
      <c r="B7" s="73">
        <v>384.86940800000002</v>
      </c>
    </row>
    <row r="8" spans="1:2" x14ac:dyDescent="0.25">
      <c r="A8" s="54">
        <v>1997</v>
      </c>
      <c r="B8" s="73">
        <v>281.78393599999998</v>
      </c>
    </row>
    <row r="9" spans="1:2" x14ac:dyDescent="0.25">
      <c r="A9" s="55">
        <v>1998</v>
      </c>
      <c r="B9" s="73">
        <v>332.07152000000002</v>
      </c>
    </row>
    <row r="10" spans="1:2" x14ac:dyDescent="0.25">
      <c r="A10" s="54">
        <v>1999</v>
      </c>
      <c r="B10" s="73">
        <v>286.18310400000001</v>
      </c>
    </row>
    <row r="11" spans="1:2" x14ac:dyDescent="0.25">
      <c r="A11" s="55">
        <v>2000</v>
      </c>
      <c r="B11" s="73">
        <v>282.12097499999999</v>
      </c>
    </row>
    <row r="12" spans="1:2" x14ac:dyDescent="0.25">
      <c r="A12" s="54">
        <v>2001</v>
      </c>
      <c r="B12" s="73">
        <v>278.40797600000002</v>
      </c>
    </row>
    <row r="13" spans="1:2" x14ac:dyDescent="0.25">
      <c r="A13" s="55">
        <v>2002</v>
      </c>
      <c r="B13" s="73">
        <v>338.36403799999999</v>
      </c>
    </row>
    <row r="14" spans="1:2" x14ac:dyDescent="0.25">
      <c r="A14" s="54">
        <v>2003</v>
      </c>
      <c r="B14" s="73">
        <v>325.82918899999999</v>
      </c>
    </row>
    <row r="15" spans="1:2" x14ac:dyDescent="0.25">
      <c r="A15" s="55">
        <v>2004</v>
      </c>
      <c r="B15" s="73">
        <v>433.137812</v>
      </c>
    </row>
    <row r="16" spans="1:2" x14ac:dyDescent="0.25">
      <c r="A16" s="54">
        <v>2005</v>
      </c>
      <c r="B16" s="73">
        <v>436.91641600000003</v>
      </c>
    </row>
    <row r="17" spans="1:2" x14ac:dyDescent="0.25">
      <c r="A17" s="55">
        <v>2006</v>
      </c>
      <c r="B17" s="73">
        <v>512.90662499999996</v>
      </c>
    </row>
    <row r="18" spans="1:2" x14ac:dyDescent="0.25">
      <c r="A18" s="54">
        <v>2007</v>
      </c>
      <c r="B18" s="73">
        <v>868.24385199999995</v>
      </c>
    </row>
    <row r="19" spans="1:2" x14ac:dyDescent="0.25">
      <c r="A19" s="55">
        <v>2008</v>
      </c>
      <c r="B19" s="73">
        <v>1146.2366030000001</v>
      </c>
    </row>
    <row r="20" spans="1:2" x14ac:dyDescent="0.25">
      <c r="A20" s="54">
        <v>2009</v>
      </c>
      <c r="B20" s="73">
        <v>443.46851299999997</v>
      </c>
    </row>
    <row r="21" spans="1:2" x14ac:dyDescent="0.25">
      <c r="A21" s="55">
        <v>2010</v>
      </c>
      <c r="B21" s="73">
        <v>324.97551399999998</v>
      </c>
    </row>
    <row r="22" spans="1:2" x14ac:dyDescent="0.25">
      <c r="A22" s="54">
        <v>2011</v>
      </c>
      <c r="B22" s="73">
        <v>439.93325199999998</v>
      </c>
    </row>
    <row r="23" spans="1:2" x14ac:dyDescent="0.25">
      <c r="A23" s="55">
        <v>2012</v>
      </c>
      <c r="B23" s="73">
        <v>289.56223799999998</v>
      </c>
    </row>
    <row r="24" spans="1:2" x14ac:dyDescent="0.25">
      <c r="A24" s="54">
        <v>2013</v>
      </c>
      <c r="B24" s="73">
        <v>496.93744700000002</v>
      </c>
    </row>
    <row r="25" spans="1:2" x14ac:dyDescent="0.25">
      <c r="A25" s="55">
        <v>2014</v>
      </c>
      <c r="B25" s="73">
        <v>1218.455066</v>
      </c>
    </row>
    <row r="26" spans="1:2" x14ac:dyDescent="0.25">
      <c r="A26" s="54">
        <v>2015</v>
      </c>
      <c r="B26" s="73">
        <v>1295.4892649999999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" sqref="B2:B26"/>
    </sheetView>
  </sheetViews>
  <sheetFormatPr baseColWidth="10" defaultRowHeight="15" x14ac:dyDescent="0.25"/>
  <cols>
    <col min="2" max="2" width="12.85546875" customWidth="1"/>
  </cols>
  <sheetData>
    <row r="1" spans="1:7" ht="75" x14ac:dyDescent="0.25">
      <c r="A1" s="34" t="s">
        <v>3</v>
      </c>
      <c r="B1" s="34" t="s">
        <v>142</v>
      </c>
    </row>
    <row r="2" spans="1:7" x14ac:dyDescent="0.25">
      <c r="A2" s="54">
        <v>1991</v>
      </c>
      <c r="B2" s="105">
        <f>('Export 04'!B2)-('Import 04'!B2)</f>
        <v>-51.428851999999999</v>
      </c>
      <c r="D2" s="128" t="s">
        <v>36</v>
      </c>
      <c r="E2" s="128"/>
      <c r="F2" s="101" t="s">
        <v>10</v>
      </c>
      <c r="G2" s="7" t="s">
        <v>37</v>
      </c>
    </row>
    <row r="3" spans="1:7" x14ac:dyDescent="0.25">
      <c r="A3" s="55">
        <v>1992</v>
      </c>
      <c r="B3" s="105">
        <f>('Export 04'!B3)-('Import 04'!B3)</f>
        <v>-97.305328000000003</v>
      </c>
    </row>
    <row r="4" spans="1:7" x14ac:dyDescent="0.25">
      <c r="A4" s="54">
        <v>1993</v>
      </c>
      <c r="B4" s="105">
        <f>('Export 04'!B4)-('Import 04'!B4)</f>
        <v>-98.001287000000005</v>
      </c>
    </row>
    <row r="5" spans="1:7" x14ac:dyDescent="0.25">
      <c r="A5" s="55">
        <v>1994</v>
      </c>
      <c r="B5" s="105">
        <f>('Export 04'!B5)-('Import 04'!B5)</f>
        <v>-119.58583400000001</v>
      </c>
    </row>
    <row r="6" spans="1:7" x14ac:dyDescent="0.25">
      <c r="A6" s="54">
        <v>1995</v>
      </c>
      <c r="B6" s="105">
        <f>('Export 04'!B6)-('Import 04'!B6)</f>
        <v>-255.48925600000001</v>
      </c>
    </row>
    <row r="7" spans="1:7" x14ac:dyDescent="0.25">
      <c r="A7" s="55">
        <v>1996</v>
      </c>
      <c r="B7" s="105">
        <f>('Export 04'!B7)-('Import 04'!B7)</f>
        <v>-380.928786</v>
      </c>
    </row>
    <row r="8" spans="1:7" x14ac:dyDescent="0.25">
      <c r="A8" s="54">
        <v>1997</v>
      </c>
      <c r="B8" s="105">
        <f>('Export 04'!B8)-('Import 04'!B8)</f>
        <v>-278.47172</v>
      </c>
    </row>
    <row r="9" spans="1:7" x14ac:dyDescent="0.25">
      <c r="A9" s="55">
        <v>1998</v>
      </c>
      <c r="B9" s="105">
        <f>('Export 04'!B9)-('Import 04'!B9)</f>
        <v>-328.15617500000002</v>
      </c>
    </row>
    <row r="10" spans="1:7" x14ac:dyDescent="0.25">
      <c r="A10" s="54">
        <v>1999</v>
      </c>
      <c r="B10" s="105">
        <f>('Export 04'!B10)-('Import 04'!B10)</f>
        <v>-280.78314</v>
      </c>
    </row>
    <row r="11" spans="1:7" x14ac:dyDescent="0.25">
      <c r="A11" s="55">
        <v>2000</v>
      </c>
      <c r="B11" s="105">
        <f>('Export 04'!B11)-('Import 04'!B11)</f>
        <v>-276.72846599999997</v>
      </c>
    </row>
    <row r="12" spans="1:7" x14ac:dyDescent="0.25">
      <c r="A12" s="54">
        <v>2001</v>
      </c>
      <c r="B12" s="105">
        <f>('Export 04'!B12)-('Import 04'!B12)</f>
        <v>-268.28952600000002</v>
      </c>
    </row>
    <row r="13" spans="1:7" x14ac:dyDescent="0.25">
      <c r="A13" s="55">
        <v>2002</v>
      </c>
      <c r="B13" s="105">
        <f>('Export 04'!B13)-('Import 04'!B13)</f>
        <v>-324.959181</v>
      </c>
    </row>
    <row r="14" spans="1:7" x14ac:dyDescent="0.25">
      <c r="A14" s="54">
        <v>2003</v>
      </c>
      <c r="B14" s="105">
        <f>('Export 04'!B14)-('Import 04'!B14)</f>
        <v>-313.10226599999999</v>
      </c>
    </row>
    <row r="15" spans="1:7" x14ac:dyDescent="0.25">
      <c r="A15" s="55">
        <v>2004</v>
      </c>
      <c r="B15" s="105">
        <f>('Export 04'!B15)-('Import 04'!B15)</f>
        <v>-418.59319699999998</v>
      </c>
    </row>
    <row r="16" spans="1:7" x14ac:dyDescent="0.25">
      <c r="A16" s="54">
        <v>2005</v>
      </c>
      <c r="B16" s="105">
        <f>('Export 04'!B16)-('Import 04'!B16)</f>
        <v>-418.25931200000002</v>
      </c>
    </row>
    <row r="17" spans="1:2" x14ac:dyDescent="0.25">
      <c r="A17" s="55">
        <v>2006</v>
      </c>
      <c r="B17" s="105">
        <f>('Export 04'!B17)-('Import 04'!B17)</f>
        <v>-490.29574199999996</v>
      </c>
    </row>
    <row r="18" spans="1:2" x14ac:dyDescent="0.25">
      <c r="A18" s="54">
        <v>2007</v>
      </c>
      <c r="B18" s="105">
        <f>('Export 04'!B18)-('Import 04'!B18)</f>
        <v>-847.97540199999992</v>
      </c>
    </row>
    <row r="19" spans="1:2" x14ac:dyDescent="0.25">
      <c r="A19" s="55">
        <v>2008</v>
      </c>
      <c r="B19" s="105">
        <f>('Export 04'!B19)-('Import 04'!B19)</f>
        <v>-1123.919335</v>
      </c>
    </row>
    <row r="20" spans="1:2" x14ac:dyDescent="0.25">
      <c r="A20" s="54">
        <v>2009</v>
      </c>
      <c r="B20" s="105">
        <f>('Export 04'!B20)-('Import 04'!B20)</f>
        <v>-417.44365199999999</v>
      </c>
    </row>
    <row r="21" spans="1:2" x14ac:dyDescent="0.25">
      <c r="A21" s="55">
        <v>2010</v>
      </c>
      <c r="B21" s="105">
        <f>('Export 04'!B21)-('Import 04'!B21)</f>
        <v>-300.94806999999997</v>
      </c>
    </row>
    <row r="22" spans="1:2" x14ac:dyDescent="0.25">
      <c r="A22" s="54">
        <v>2011</v>
      </c>
      <c r="B22" s="105">
        <f>('Export 04'!B22)-('Import 04'!B22)</f>
        <v>-418.64352499999995</v>
      </c>
    </row>
    <row r="23" spans="1:2" x14ac:dyDescent="0.25">
      <c r="A23" s="55">
        <v>2012</v>
      </c>
      <c r="B23" s="105">
        <f>('Export 04'!B23)-('Import 04'!B23)</f>
        <v>-266.87277699999999</v>
      </c>
    </row>
    <row r="24" spans="1:2" x14ac:dyDescent="0.25">
      <c r="A24" s="54">
        <v>2013</v>
      </c>
      <c r="B24" s="105">
        <f>('Export 04'!B24)-('Import 04'!B24)</f>
        <v>-472.46718200000004</v>
      </c>
    </row>
    <row r="25" spans="1:2" x14ac:dyDescent="0.25">
      <c r="A25" s="55">
        <v>2014</v>
      </c>
      <c r="B25" s="105">
        <f>('Export 04'!B25)-('Import 04'!B25)</f>
        <v>-1186.7286079999999</v>
      </c>
    </row>
    <row r="26" spans="1:2" x14ac:dyDescent="0.25">
      <c r="A26" s="54">
        <v>2015</v>
      </c>
      <c r="B26" s="105">
        <f>('Export 04'!B26)-('Import 04'!B26)</f>
        <v>-1264.684698</v>
      </c>
    </row>
    <row r="27" spans="1:2" x14ac:dyDescent="0.25">
      <c r="A27" t="s">
        <v>117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122" zoomScale="110" zoomScaleNormal="110" workbookViewId="0">
      <selection activeCell="E213" sqref="E213:E237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4.28515625" bestFit="1" customWidth="1"/>
    <col min="6" max="6" width="13.28515625" customWidth="1"/>
    <col min="7" max="8" width="12.5703125" customWidth="1"/>
    <col min="9" max="9" width="3.7109375" customWidth="1"/>
    <col min="11" max="11" width="12.28515625" bestFit="1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101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13</v>
      </c>
      <c r="C6" s="13" t="s">
        <v>9</v>
      </c>
      <c r="D6" s="14" t="s">
        <v>4</v>
      </c>
    </row>
    <row r="7" spans="1:10" x14ac:dyDescent="0.25">
      <c r="A7" s="10">
        <v>1991</v>
      </c>
      <c r="B7" s="93">
        <f>'Export 04'!B2</f>
        <v>5.6062079999999996</v>
      </c>
      <c r="C7" s="5">
        <v>41239.551378248201</v>
      </c>
      <c r="D7" s="19">
        <f t="shared" ref="D7:D31" si="0">B7/(C7*100)</f>
        <v>1.3594250695357935E-6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93">
        <f>'Export 04'!B3</f>
        <v>6.3740959999999998</v>
      </c>
      <c r="C8" s="5">
        <v>49279.585355094838</v>
      </c>
      <c r="D8" s="19">
        <f t="shared" si="0"/>
        <v>1.2934556884093191E-6</v>
      </c>
    </row>
    <row r="9" spans="1:10" x14ac:dyDescent="0.25">
      <c r="A9" s="10">
        <v>1993</v>
      </c>
      <c r="B9" s="93">
        <f>'Export 04'!B4</f>
        <v>4.4266730000000001</v>
      </c>
      <c r="C9" s="5">
        <v>55802.540100979531</v>
      </c>
      <c r="D9" s="19">
        <f t="shared" si="0"/>
        <v>7.9327446241507134E-7</v>
      </c>
    </row>
    <row r="10" spans="1:10" x14ac:dyDescent="0.25">
      <c r="A10" s="10">
        <v>1994</v>
      </c>
      <c r="B10" s="93">
        <f>'Export 04'!B5</f>
        <v>6.7137019999999996</v>
      </c>
      <c r="C10" s="5">
        <v>81703.496603993364</v>
      </c>
      <c r="D10" s="19">
        <f t="shared" si="0"/>
        <v>8.2171538294627387E-7</v>
      </c>
    </row>
    <row r="11" spans="1:10" x14ac:dyDescent="0.25">
      <c r="A11" s="10">
        <v>1995</v>
      </c>
      <c r="B11" s="93">
        <f>'Export 04'!B6</f>
        <v>5.6899280000000001</v>
      </c>
      <c r="C11" s="5">
        <v>92507.277798198498</v>
      </c>
      <c r="D11" s="19">
        <f t="shared" si="0"/>
        <v>6.150789576158955E-7</v>
      </c>
    </row>
    <row r="12" spans="1:10" x14ac:dyDescent="0.25">
      <c r="A12" s="10">
        <v>1996</v>
      </c>
      <c r="B12" s="93">
        <f>'Export 04'!B7</f>
        <v>3.9406219999999998</v>
      </c>
      <c r="C12" s="5">
        <v>97160.111573336981</v>
      </c>
      <c r="D12" s="19">
        <f t="shared" si="0"/>
        <v>4.055802258960558E-7</v>
      </c>
    </row>
    <row r="13" spans="1:10" x14ac:dyDescent="0.25">
      <c r="A13" s="10">
        <v>1997</v>
      </c>
      <c r="B13" s="93">
        <f>'Export 04'!B8</f>
        <v>3.3122159999999998</v>
      </c>
      <c r="C13" s="5">
        <v>106659.5079635281</v>
      </c>
      <c r="D13" s="19">
        <f t="shared" si="0"/>
        <v>3.1054109129517104E-7</v>
      </c>
    </row>
    <row r="14" spans="1:10" x14ac:dyDescent="0.25">
      <c r="A14" s="10">
        <v>1998</v>
      </c>
      <c r="B14" s="93">
        <f>'Export 04'!B9</f>
        <v>3.9153449999999999</v>
      </c>
      <c r="C14" s="5">
        <v>98443.743190849113</v>
      </c>
      <c r="D14" s="19">
        <f t="shared" si="0"/>
        <v>3.9772410852048472E-7</v>
      </c>
    </row>
    <row r="15" spans="1:10" x14ac:dyDescent="0.25">
      <c r="A15" s="10">
        <v>1999</v>
      </c>
      <c r="B15" s="93">
        <f>'Export 04'!B10</f>
        <v>5.3999639999999998</v>
      </c>
      <c r="C15" s="5">
        <v>86186.156584381664</v>
      </c>
      <c r="D15" s="19">
        <f t="shared" si="0"/>
        <v>6.2654656084044025E-7</v>
      </c>
    </row>
    <row r="16" spans="1:10" x14ac:dyDescent="0.25">
      <c r="A16" s="10">
        <v>2000</v>
      </c>
      <c r="B16" s="93">
        <f>'Export 04'!B11</f>
        <v>5.3925090000000004</v>
      </c>
      <c r="C16" s="5">
        <v>99886.577575544405</v>
      </c>
      <c r="D16" s="19">
        <f t="shared" si="0"/>
        <v>5.3986322595962768E-7</v>
      </c>
    </row>
    <row r="17" spans="1:4" x14ac:dyDescent="0.25">
      <c r="A17" s="10">
        <v>2001</v>
      </c>
      <c r="B17" s="93">
        <f>'Export 04'!B12</f>
        <v>10.118449999999999</v>
      </c>
      <c r="C17" s="5">
        <v>98203.544965267793</v>
      </c>
      <c r="D17" s="19">
        <f t="shared" si="0"/>
        <v>1.0303548617902387E-6</v>
      </c>
    </row>
    <row r="18" spans="1:4" x14ac:dyDescent="0.25">
      <c r="A18" s="10">
        <v>2002</v>
      </c>
      <c r="B18" s="93">
        <f>'Export 04'!B13</f>
        <v>13.404857</v>
      </c>
      <c r="C18" s="5">
        <v>97933.392356425262</v>
      </c>
      <c r="D18" s="19">
        <f t="shared" si="0"/>
        <v>1.3687728646439078E-6</v>
      </c>
    </row>
    <row r="19" spans="1:4" x14ac:dyDescent="0.25">
      <c r="A19" s="10">
        <v>2003</v>
      </c>
      <c r="B19" s="93">
        <f>'Export 04'!B14</f>
        <v>12.726922999999999</v>
      </c>
      <c r="C19" s="5">
        <v>94684.582573316715</v>
      </c>
      <c r="D19" s="19">
        <f t="shared" si="0"/>
        <v>1.3441388929549556E-6</v>
      </c>
    </row>
    <row r="20" spans="1:4" x14ac:dyDescent="0.25">
      <c r="A20" s="10">
        <v>2004</v>
      </c>
      <c r="B20" s="93">
        <f>'Export 04'!B15</f>
        <v>14.544615</v>
      </c>
      <c r="C20" s="5">
        <v>117074.86551527939</v>
      </c>
      <c r="D20" s="19">
        <f t="shared" si="0"/>
        <v>1.2423345468717868E-6</v>
      </c>
    </row>
    <row r="21" spans="1:4" x14ac:dyDescent="0.25">
      <c r="A21" s="10">
        <v>2005</v>
      </c>
      <c r="B21" s="93">
        <f>'Export 04'!B16</f>
        <v>18.657104</v>
      </c>
      <c r="C21" s="5">
        <v>146566.26631057015</v>
      </c>
      <c r="D21" s="19">
        <f t="shared" si="0"/>
        <v>1.2729466656717635E-6</v>
      </c>
    </row>
    <row r="22" spans="1:4" x14ac:dyDescent="0.25">
      <c r="A22" s="10">
        <v>2006</v>
      </c>
      <c r="B22" s="93">
        <f>'Export 04'!B17</f>
        <v>22.610883000000001</v>
      </c>
      <c r="C22" s="5">
        <v>162590.1460964143</v>
      </c>
      <c r="D22" s="19">
        <f t="shared" si="0"/>
        <v>1.3906674877204413E-6</v>
      </c>
    </row>
    <row r="23" spans="1:4" x14ac:dyDescent="0.25">
      <c r="A23" s="10">
        <v>2007</v>
      </c>
      <c r="B23" s="93">
        <f>'Export 04'!B18</f>
        <v>20.268450000000001</v>
      </c>
      <c r="C23" s="5">
        <v>207416.49464237894</v>
      </c>
      <c r="D23" s="19">
        <f t="shared" si="0"/>
        <v>9.771860253904218E-7</v>
      </c>
    </row>
    <row r="24" spans="1:4" x14ac:dyDescent="0.25">
      <c r="A24" s="10">
        <v>2008</v>
      </c>
      <c r="B24" s="93">
        <f>'Export 04'!B19</f>
        <v>22.317267999999999</v>
      </c>
      <c r="C24" s="5">
        <v>243982.43787084011</v>
      </c>
      <c r="D24" s="19">
        <f t="shared" si="0"/>
        <v>9.1470796811262119E-7</v>
      </c>
    </row>
    <row r="25" spans="1:4" x14ac:dyDescent="0.25">
      <c r="A25" s="10">
        <v>2009</v>
      </c>
      <c r="B25" s="93">
        <f>'Export 04'!B20</f>
        <v>26.024861000000001</v>
      </c>
      <c r="C25" s="5">
        <v>233821.6705442575</v>
      </c>
      <c r="D25" s="19">
        <f t="shared" si="0"/>
        <v>1.1130217716528564E-6</v>
      </c>
    </row>
    <row r="26" spans="1:4" x14ac:dyDescent="0.25">
      <c r="A26" s="10">
        <v>2010</v>
      </c>
      <c r="B26" s="93">
        <f>'Export 04'!B21</f>
        <v>24.027443999999999</v>
      </c>
      <c r="C26" s="5">
        <v>287018.18463752925</v>
      </c>
      <c r="D26" s="19">
        <f t="shared" si="0"/>
        <v>8.3714012860696897E-7</v>
      </c>
    </row>
    <row r="27" spans="1:4" x14ac:dyDescent="0.25">
      <c r="A27" s="10">
        <v>2011</v>
      </c>
      <c r="B27" s="93">
        <f>'Export 04'!B22</f>
        <v>21.289726999999999</v>
      </c>
      <c r="C27" s="5">
        <v>335415.15670218616</v>
      </c>
      <c r="D27" s="19">
        <f t="shared" si="0"/>
        <v>6.3472763751409915E-7</v>
      </c>
    </row>
    <row r="28" spans="1:4" x14ac:dyDescent="0.25">
      <c r="A28" s="10">
        <v>2012</v>
      </c>
      <c r="B28" s="93">
        <f>'Export 04'!B23</f>
        <v>22.689461000000001</v>
      </c>
      <c r="C28" s="5">
        <v>369659.70037551981</v>
      </c>
      <c r="D28" s="19">
        <f t="shared" si="0"/>
        <v>6.1379319890566515E-7</v>
      </c>
    </row>
    <row r="29" spans="1:4" x14ac:dyDescent="0.25">
      <c r="A29" s="10">
        <v>2013</v>
      </c>
      <c r="B29" s="93">
        <f>'Export 04'!B24</f>
        <v>24.470265000000001</v>
      </c>
      <c r="C29" s="5">
        <v>380191.88186037214</v>
      </c>
      <c r="D29" s="19">
        <f t="shared" si="0"/>
        <v>6.4362934001275863E-7</v>
      </c>
    </row>
    <row r="30" spans="1:4" x14ac:dyDescent="0.25">
      <c r="A30" s="10">
        <v>2014</v>
      </c>
      <c r="B30" s="93">
        <f>'Export 04'!B25</f>
        <v>31.726458000000001</v>
      </c>
      <c r="C30" s="5">
        <v>378416.02053371473</v>
      </c>
      <c r="D30" s="19">
        <f t="shared" si="0"/>
        <v>8.384015548615852E-7</v>
      </c>
    </row>
    <row r="31" spans="1:4" x14ac:dyDescent="0.25">
      <c r="A31" s="11">
        <v>2015</v>
      </c>
      <c r="B31" s="93">
        <f>'Export 04'!B26</f>
        <v>30.804566999999999</v>
      </c>
      <c r="C31" s="6">
        <v>292080.15563330991</v>
      </c>
      <c r="D31" s="19">
        <f t="shared" si="0"/>
        <v>1.0546614142000591E-6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41</v>
      </c>
      <c r="C35" s="13" t="s">
        <v>9</v>
      </c>
      <c r="D35" s="14" t="s">
        <v>40</v>
      </c>
    </row>
    <row r="36" spans="1:10" x14ac:dyDescent="0.25">
      <c r="A36" s="10">
        <v>1991</v>
      </c>
      <c r="B36" s="93">
        <f>'Import 04'!B2</f>
        <v>57.035060000000001</v>
      </c>
      <c r="C36" s="5">
        <v>41239.551378248172</v>
      </c>
      <c r="D36" s="63">
        <f t="shared" ref="D36:D60" si="1">(B36/C36)/100</f>
        <v>1.3830184396739868E-5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93">
        <f>'Import 04'!B3</f>
        <v>103.679424</v>
      </c>
      <c r="C37" s="5">
        <v>49279.585355094838</v>
      </c>
      <c r="D37" s="63">
        <f t="shared" si="1"/>
        <v>2.1039021179442809E-5</v>
      </c>
    </row>
    <row r="38" spans="1:10" x14ac:dyDescent="0.25">
      <c r="A38" s="10">
        <v>1993</v>
      </c>
      <c r="B38" s="93">
        <f>'Import 04'!B4</f>
        <v>102.42796</v>
      </c>
      <c r="C38" s="5">
        <v>55802.540100979531</v>
      </c>
      <c r="D38" s="63">
        <f t="shared" si="1"/>
        <v>1.8355429665862473E-5</v>
      </c>
    </row>
    <row r="39" spans="1:10" x14ac:dyDescent="0.25">
      <c r="A39" s="10">
        <v>1994</v>
      </c>
      <c r="B39" s="93">
        <f>'Import 04'!B5</f>
        <v>126.299536</v>
      </c>
      <c r="C39" s="5">
        <v>81703.496603993364</v>
      </c>
      <c r="D39" s="63">
        <f t="shared" si="1"/>
        <v>1.5458277950105128E-5</v>
      </c>
    </row>
    <row r="40" spans="1:10" x14ac:dyDescent="0.25">
      <c r="A40" s="10">
        <v>1995</v>
      </c>
      <c r="B40" s="93">
        <f>'Import 04'!B6</f>
        <v>261.17918400000002</v>
      </c>
      <c r="C40" s="5">
        <v>92507.277798198498</v>
      </c>
      <c r="D40" s="63">
        <f t="shared" si="1"/>
        <v>2.8233366089287979E-5</v>
      </c>
    </row>
    <row r="41" spans="1:10" x14ac:dyDescent="0.25">
      <c r="A41" s="10">
        <v>1996</v>
      </c>
      <c r="B41" s="93">
        <f>'Import 04'!B7</f>
        <v>384.86940800000002</v>
      </c>
      <c r="C41" s="5">
        <v>97160.111573336981</v>
      </c>
      <c r="D41" s="63">
        <f t="shared" si="1"/>
        <v>3.9611873820204343E-5</v>
      </c>
    </row>
    <row r="42" spans="1:10" x14ac:dyDescent="0.25">
      <c r="A42" s="10">
        <v>1997</v>
      </c>
      <c r="B42" s="93">
        <f>'Import 04'!B8</f>
        <v>281.78393599999998</v>
      </c>
      <c r="C42" s="5">
        <v>106659.5079635281</v>
      </c>
      <c r="D42" s="63">
        <f t="shared" si="1"/>
        <v>2.6419017055315418E-5</v>
      </c>
    </row>
    <row r="43" spans="1:10" x14ac:dyDescent="0.25">
      <c r="A43" s="10">
        <v>1998</v>
      </c>
      <c r="B43" s="93">
        <f>'Import 04'!B9</f>
        <v>332.07152000000002</v>
      </c>
      <c r="C43" s="5">
        <v>98443.743190849113</v>
      </c>
      <c r="D43" s="63">
        <f t="shared" si="1"/>
        <v>3.3732110262835668E-5</v>
      </c>
    </row>
    <row r="44" spans="1:10" x14ac:dyDescent="0.25">
      <c r="A44" s="10">
        <v>1999</v>
      </c>
      <c r="B44" s="93">
        <f>'Import 04'!B10</f>
        <v>286.18310400000001</v>
      </c>
      <c r="C44" s="5">
        <v>86186.156584381664</v>
      </c>
      <c r="D44" s="63">
        <f t="shared" si="1"/>
        <v>3.320522869816207E-5</v>
      </c>
    </row>
    <row r="45" spans="1:10" x14ac:dyDescent="0.25">
      <c r="A45" s="10">
        <v>2000</v>
      </c>
      <c r="B45" s="93">
        <f>'Import 04'!B11</f>
        <v>282.12097499999999</v>
      </c>
      <c r="C45" s="5">
        <v>99886.577575544405</v>
      </c>
      <c r="D45" s="63">
        <f t="shared" si="1"/>
        <v>2.8244132680052169E-5</v>
      </c>
    </row>
    <row r="46" spans="1:10" x14ac:dyDescent="0.25">
      <c r="A46" s="10">
        <v>2001</v>
      </c>
      <c r="B46" s="93">
        <f>'Import 04'!B12</f>
        <v>278.40797600000002</v>
      </c>
      <c r="C46" s="5">
        <v>98203.544965267793</v>
      </c>
      <c r="D46" s="63">
        <f t="shared" si="1"/>
        <v>2.8350094296337894E-5</v>
      </c>
    </row>
    <row r="47" spans="1:10" x14ac:dyDescent="0.25">
      <c r="A47" s="10">
        <v>2002</v>
      </c>
      <c r="B47" s="93">
        <f>'Import 04'!B13</f>
        <v>338.36403799999999</v>
      </c>
      <c r="C47" s="5">
        <v>97933.392356425262</v>
      </c>
      <c r="D47" s="63">
        <f t="shared" si="1"/>
        <v>3.4550425534993777E-5</v>
      </c>
    </row>
    <row r="48" spans="1:10" x14ac:dyDescent="0.25">
      <c r="A48" s="10">
        <v>2003</v>
      </c>
      <c r="B48" s="93">
        <f>'Import 04'!B14</f>
        <v>325.82918899999999</v>
      </c>
      <c r="C48" s="5">
        <v>94684.582573316715</v>
      </c>
      <c r="D48" s="63">
        <f t="shared" si="1"/>
        <v>3.4412063732519711E-5</v>
      </c>
    </row>
    <row r="49" spans="1:10" x14ac:dyDescent="0.25">
      <c r="A49" s="10">
        <v>2004</v>
      </c>
      <c r="B49" s="93">
        <f>'Import 04'!B15</f>
        <v>433.137812</v>
      </c>
      <c r="C49" s="5">
        <v>117074.86551527939</v>
      </c>
      <c r="D49" s="63">
        <f t="shared" si="1"/>
        <v>3.6996652534567406E-5</v>
      </c>
    </row>
    <row r="50" spans="1:10" x14ac:dyDescent="0.25">
      <c r="A50" s="10">
        <v>2005</v>
      </c>
      <c r="B50" s="93">
        <f>'Import 04'!B16</f>
        <v>436.91641600000003</v>
      </c>
      <c r="C50" s="5">
        <v>146566.26631057015</v>
      </c>
      <c r="D50" s="63">
        <f t="shared" si="1"/>
        <v>2.9810162119718967E-5</v>
      </c>
    </row>
    <row r="51" spans="1:10" x14ac:dyDescent="0.25">
      <c r="A51" s="10">
        <v>2006</v>
      </c>
      <c r="B51" s="93">
        <f>'Import 04'!B17</f>
        <v>512.90662499999996</v>
      </c>
      <c r="C51" s="5">
        <v>162590.1460964143</v>
      </c>
      <c r="D51" s="63">
        <f t="shared" si="1"/>
        <v>3.1545984631556428E-5</v>
      </c>
    </row>
    <row r="52" spans="1:10" x14ac:dyDescent="0.25">
      <c r="A52" s="10">
        <v>2007</v>
      </c>
      <c r="B52" s="93">
        <f>'Import 04'!B18</f>
        <v>868.24385199999995</v>
      </c>
      <c r="C52" s="5">
        <v>207416.49464237894</v>
      </c>
      <c r="D52" s="63">
        <f t="shared" si="1"/>
        <v>4.1859923122170149E-5</v>
      </c>
    </row>
    <row r="53" spans="1:10" x14ac:dyDescent="0.25">
      <c r="A53" s="10">
        <v>2008</v>
      </c>
      <c r="B53" s="93">
        <f>'Import 04'!B19</f>
        <v>1146.2366030000001</v>
      </c>
      <c r="C53" s="5">
        <v>243982.43787084011</v>
      </c>
      <c r="D53" s="63">
        <f t="shared" si="1"/>
        <v>4.6980291409613549E-5</v>
      </c>
    </row>
    <row r="54" spans="1:10" x14ac:dyDescent="0.25">
      <c r="A54" s="10">
        <v>2009</v>
      </c>
      <c r="B54" s="93">
        <f>'Import 04'!B20</f>
        <v>443.46851299999997</v>
      </c>
      <c r="C54" s="5">
        <v>233821.6705442575</v>
      </c>
      <c r="D54" s="63">
        <f t="shared" si="1"/>
        <v>1.8966099761743887E-5</v>
      </c>
    </row>
    <row r="55" spans="1:10" x14ac:dyDescent="0.25">
      <c r="A55" s="10">
        <v>2010</v>
      </c>
      <c r="B55" s="93">
        <f>'Import 04'!B21</f>
        <v>324.97551399999998</v>
      </c>
      <c r="C55" s="5">
        <v>287018.18463752925</v>
      </c>
      <c r="D55" s="63">
        <f t="shared" si="1"/>
        <v>1.1322471236810533E-5</v>
      </c>
    </row>
    <row r="56" spans="1:10" x14ac:dyDescent="0.25">
      <c r="A56" s="10">
        <v>2011</v>
      </c>
      <c r="B56" s="93">
        <f>'Import 04'!B22</f>
        <v>439.93325199999998</v>
      </c>
      <c r="C56" s="5">
        <v>335415.15670218616</v>
      </c>
      <c r="D56" s="63">
        <f t="shared" si="1"/>
        <v>1.3116081465293324E-5</v>
      </c>
    </row>
    <row r="57" spans="1:10" x14ac:dyDescent="0.25">
      <c r="A57" s="10">
        <v>2012</v>
      </c>
      <c r="B57" s="93">
        <f>'Import 04'!B23</f>
        <v>289.56223799999998</v>
      </c>
      <c r="C57" s="5">
        <v>369659.70037551981</v>
      </c>
      <c r="D57" s="63">
        <f t="shared" si="1"/>
        <v>7.8332108613908254E-6</v>
      </c>
    </row>
    <row r="58" spans="1:10" x14ac:dyDescent="0.25">
      <c r="A58" s="10">
        <v>2013</v>
      </c>
      <c r="B58" s="93">
        <f>'Import 04'!B24</f>
        <v>496.93744700000002</v>
      </c>
      <c r="C58" s="5">
        <v>380191.88186037214</v>
      </c>
      <c r="D58" s="63">
        <f t="shared" si="1"/>
        <v>1.307070115669917E-5</v>
      </c>
    </row>
    <row r="59" spans="1:10" x14ac:dyDescent="0.25">
      <c r="A59" s="10">
        <v>2014</v>
      </c>
      <c r="B59" s="93">
        <f>'Import 04'!B25</f>
        <v>1218.455066</v>
      </c>
      <c r="C59" s="5">
        <v>378416.02053371473</v>
      </c>
      <c r="D59" s="63">
        <f t="shared" si="1"/>
        <v>3.2198823513906772E-5</v>
      </c>
    </row>
    <row r="60" spans="1:10" x14ac:dyDescent="0.25">
      <c r="A60" s="11">
        <v>2015</v>
      </c>
      <c r="B60" s="93">
        <f>'Import 04'!B26</f>
        <v>1295.4892649999999</v>
      </c>
      <c r="C60" s="6">
        <v>292080.15563330991</v>
      </c>
      <c r="D60" s="63">
        <f t="shared" si="1"/>
        <v>4.4353895326816152E-5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101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8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93">
        <f>'Import 04'!B2</f>
        <v>57.035060000000001</v>
      </c>
      <c r="C66" s="5">
        <v>6174.0429999999997</v>
      </c>
      <c r="D66" s="19">
        <f t="shared" ref="D66:D90" si="2">(B66/C66)/10000</f>
        <v>9.2378786477515635E-7</v>
      </c>
      <c r="E66" s="1"/>
    </row>
    <row r="67" spans="1:5" x14ac:dyDescent="0.25">
      <c r="A67" s="10">
        <v>1992</v>
      </c>
      <c r="B67" s="93">
        <f>'Import 04'!B3</f>
        <v>103.679424</v>
      </c>
      <c r="C67" s="5">
        <v>6539.299</v>
      </c>
      <c r="D67" s="19">
        <f t="shared" si="2"/>
        <v>1.5854822359399685E-6</v>
      </c>
      <c r="E67" s="1"/>
    </row>
    <row r="68" spans="1:5" x14ac:dyDescent="0.25">
      <c r="A68" s="10">
        <v>1993</v>
      </c>
      <c r="B68" s="93">
        <f>'Import 04'!B4</f>
        <v>102.42796</v>
      </c>
      <c r="C68" s="5">
        <v>6878.7179999999998</v>
      </c>
      <c r="D68" s="19">
        <f t="shared" si="2"/>
        <v>1.4890559549032249E-6</v>
      </c>
      <c r="E68" s="1"/>
    </row>
    <row r="69" spans="1:5" x14ac:dyDescent="0.25">
      <c r="A69" s="10">
        <v>1994</v>
      </c>
      <c r="B69" s="93">
        <f>'Import 04'!B5</f>
        <v>126.299536</v>
      </c>
      <c r="C69" s="5">
        <v>7308.7550000000001</v>
      </c>
      <c r="D69" s="19">
        <f t="shared" si="2"/>
        <v>1.728058143965696E-6</v>
      </c>
      <c r="E69" s="1"/>
    </row>
    <row r="70" spans="1:5" x14ac:dyDescent="0.25">
      <c r="A70" s="10">
        <v>1995</v>
      </c>
      <c r="B70" s="93">
        <f>'Import 04'!B6</f>
        <v>261.17918400000002</v>
      </c>
      <c r="C70" s="5">
        <v>7664.06</v>
      </c>
      <c r="D70" s="19">
        <f t="shared" si="2"/>
        <v>3.4078436755453375E-6</v>
      </c>
      <c r="E70" s="1"/>
    </row>
    <row r="71" spans="1:5" x14ac:dyDescent="0.25">
      <c r="A71" s="10">
        <v>1996</v>
      </c>
      <c r="B71" s="93">
        <f>'Import 04'!B7</f>
        <v>384.86940800000002</v>
      </c>
      <c r="C71" s="5">
        <v>8100.201</v>
      </c>
      <c r="D71" s="19">
        <f t="shared" si="2"/>
        <v>4.751356268813577E-6</v>
      </c>
      <c r="E71" s="1"/>
    </row>
    <row r="72" spans="1:5" x14ac:dyDescent="0.25">
      <c r="A72" s="10">
        <v>1997</v>
      </c>
      <c r="B72" s="93">
        <f>'Import 04'!B8</f>
        <v>281.78393599999998</v>
      </c>
      <c r="C72" s="5">
        <v>8608.5149999999994</v>
      </c>
      <c r="D72" s="19">
        <f t="shared" si="2"/>
        <v>3.2733164314634986E-6</v>
      </c>
      <c r="E72" s="1"/>
    </row>
    <row r="73" spans="1:5" x14ac:dyDescent="0.25">
      <c r="A73" s="10">
        <v>1998</v>
      </c>
      <c r="B73" s="93">
        <f>'Import 04'!B9</f>
        <v>332.07152000000002</v>
      </c>
      <c r="C73" s="5">
        <v>9089.1679999999997</v>
      </c>
      <c r="D73" s="19">
        <f t="shared" si="2"/>
        <v>3.6534864357221696E-6</v>
      </c>
      <c r="E73" s="1"/>
    </row>
    <row r="74" spans="1:5" x14ac:dyDescent="0.25">
      <c r="A74" s="10">
        <v>1999</v>
      </c>
      <c r="B74" s="93">
        <f>'Import 04'!B10</f>
        <v>286.18310400000001</v>
      </c>
      <c r="C74" s="5">
        <v>9660.6239999999998</v>
      </c>
      <c r="D74" s="19">
        <f t="shared" si="2"/>
        <v>2.9623666545763506E-6</v>
      </c>
      <c r="E74" s="1"/>
    </row>
    <row r="75" spans="1:5" x14ac:dyDescent="0.25">
      <c r="A75" s="10">
        <v>2000</v>
      </c>
      <c r="B75" s="93">
        <f>'Import 04'!B11</f>
        <v>282.12097499999999</v>
      </c>
      <c r="C75" s="5">
        <v>10284.779</v>
      </c>
      <c r="D75" s="19">
        <f t="shared" si="2"/>
        <v>2.7430922434016321E-6</v>
      </c>
      <c r="E75" s="1"/>
    </row>
    <row r="76" spans="1:5" x14ac:dyDescent="0.25">
      <c r="A76" s="10">
        <v>2001</v>
      </c>
      <c r="B76" s="93">
        <f>'Import 04'!B12</f>
        <v>278.40797600000002</v>
      </c>
      <c r="C76" s="5">
        <v>10621.824000000001</v>
      </c>
      <c r="D76" s="19">
        <f t="shared" si="2"/>
        <v>2.621093853560368E-6</v>
      </c>
      <c r="E76" s="1"/>
    </row>
    <row r="77" spans="1:5" x14ac:dyDescent="0.25">
      <c r="A77" s="10">
        <v>2002</v>
      </c>
      <c r="B77" s="93">
        <f>'Import 04'!B13</f>
        <v>338.36403799999999</v>
      </c>
      <c r="C77" s="5">
        <v>10977.513999999999</v>
      </c>
      <c r="D77" s="19">
        <f t="shared" si="2"/>
        <v>3.0823375675038992E-6</v>
      </c>
      <c r="E77" s="1"/>
    </row>
    <row r="78" spans="1:5" x14ac:dyDescent="0.25">
      <c r="A78" s="10">
        <v>2003</v>
      </c>
      <c r="B78" s="93">
        <f>'Import 04'!B14</f>
        <v>325.82918899999999</v>
      </c>
      <c r="C78" s="5">
        <v>11510.67</v>
      </c>
      <c r="D78" s="19">
        <f t="shared" si="2"/>
        <v>2.8306709253240686E-6</v>
      </c>
      <c r="E78" s="1"/>
    </row>
    <row r="79" spans="1:5" x14ac:dyDescent="0.25">
      <c r="A79" s="10">
        <v>2004</v>
      </c>
      <c r="B79" s="93">
        <f>'Import 04'!B15</f>
        <v>433.137812</v>
      </c>
      <c r="C79" s="5">
        <v>12274.928</v>
      </c>
      <c r="D79" s="19">
        <f t="shared" si="2"/>
        <v>3.5286383105465059E-6</v>
      </c>
      <c r="E79" s="1"/>
    </row>
    <row r="80" spans="1:5" x14ac:dyDescent="0.25">
      <c r="A80" s="10">
        <v>2005</v>
      </c>
      <c r="B80" s="93">
        <f>'Import 04'!B16</f>
        <v>436.91641600000003</v>
      </c>
      <c r="C80" s="5">
        <v>13093.726000000001</v>
      </c>
      <c r="D80" s="19">
        <f t="shared" si="2"/>
        <v>3.336837932915352E-6</v>
      </c>
      <c r="E80" s="1"/>
    </row>
    <row r="81" spans="1:10" x14ac:dyDescent="0.25">
      <c r="A81" s="10">
        <v>2006</v>
      </c>
      <c r="B81" s="93">
        <f>'Import 04'!B17</f>
        <v>512.90662499999996</v>
      </c>
      <c r="C81" s="5">
        <v>13855.888000000001</v>
      </c>
      <c r="D81" s="19">
        <f t="shared" si="2"/>
        <v>3.7017232313078742E-6</v>
      </c>
      <c r="E81" s="1"/>
    </row>
    <row r="82" spans="1:10" x14ac:dyDescent="0.25">
      <c r="A82" s="10">
        <v>2007</v>
      </c>
      <c r="B82" s="93">
        <f>'Import 04'!B18</f>
        <v>868.24385199999995</v>
      </c>
      <c r="C82" s="5">
        <v>14477.635</v>
      </c>
      <c r="D82" s="19">
        <f t="shared" si="2"/>
        <v>5.9971387039388683E-6</v>
      </c>
      <c r="E82" s="1"/>
    </row>
    <row r="83" spans="1:10" x14ac:dyDescent="0.25">
      <c r="A83" s="10">
        <v>2008</v>
      </c>
      <c r="B83" s="93">
        <f>'Import 04'!B19</f>
        <v>1146.2366030000001</v>
      </c>
      <c r="C83" s="5">
        <v>14718.582</v>
      </c>
      <c r="D83" s="19">
        <f t="shared" si="2"/>
        <v>7.7876836437097002E-6</v>
      </c>
      <c r="E83" s="1"/>
    </row>
    <row r="84" spans="1:10" x14ac:dyDescent="0.25">
      <c r="A84" s="10">
        <v>2009</v>
      </c>
      <c r="B84" s="93">
        <f>'Import 04'!B20</f>
        <v>443.46851299999997</v>
      </c>
      <c r="C84" s="5">
        <v>14418.739</v>
      </c>
      <c r="D84" s="19">
        <f t="shared" si="2"/>
        <v>3.0756400611731718E-6</v>
      </c>
      <c r="E84" s="1"/>
    </row>
    <row r="85" spans="1:10" x14ac:dyDescent="0.25">
      <c r="A85" s="10">
        <v>2010</v>
      </c>
      <c r="B85" s="93">
        <f>'Import 04'!B21</f>
        <v>324.97551399999998</v>
      </c>
      <c r="C85" s="5">
        <v>14964.371999999999</v>
      </c>
      <c r="D85" s="19">
        <f t="shared" si="2"/>
        <v>2.1716615571973215E-6</v>
      </c>
      <c r="E85" s="1"/>
    </row>
    <row r="86" spans="1:10" x14ac:dyDescent="0.25">
      <c r="A86" s="10">
        <v>2011</v>
      </c>
      <c r="B86" s="93">
        <f>'Import 04'!B22</f>
        <v>439.93325199999998</v>
      </c>
      <c r="C86" s="5">
        <v>15517.925999999999</v>
      </c>
      <c r="D86" s="19">
        <f t="shared" si="2"/>
        <v>2.8350003215635905E-6</v>
      </c>
      <c r="E86" s="1"/>
    </row>
    <row r="87" spans="1:10" x14ac:dyDescent="0.25">
      <c r="A87" s="10">
        <v>2012</v>
      </c>
      <c r="B87" s="93">
        <f>'Import 04'!B23</f>
        <v>289.56223799999998</v>
      </c>
      <c r="C87" s="5">
        <v>16155.254999999999</v>
      </c>
      <c r="D87" s="19">
        <f t="shared" si="2"/>
        <v>1.7923718195720216E-6</v>
      </c>
      <c r="E87" s="1"/>
    </row>
    <row r="88" spans="1:10" x14ac:dyDescent="0.25">
      <c r="A88" s="10">
        <v>2013</v>
      </c>
      <c r="B88" s="93">
        <f>'Import 04'!B24</f>
        <v>496.93744700000002</v>
      </c>
      <c r="C88" s="5">
        <v>16663.16</v>
      </c>
      <c r="D88" s="19">
        <f t="shared" si="2"/>
        <v>2.9822521478519084E-6</v>
      </c>
      <c r="E88" s="1"/>
    </row>
    <row r="89" spans="1:10" x14ac:dyDescent="0.25">
      <c r="A89" s="10">
        <v>2014</v>
      </c>
      <c r="B89" s="93">
        <f>'Import 04'!B25</f>
        <v>1218.455066</v>
      </c>
      <c r="C89" s="5">
        <v>17348.071499999998</v>
      </c>
      <c r="D89" s="19">
        <f t="shared" si="2"/>
        <v>7.0235764592047027E-6</v>
      </c>
      <c r="E89" s="1"/>
    </row>
    <row r="90" spans="1:10" x14ac:dyDescent="0.25">
      <c r="A90" s="11">
        <v>2015</v>
      </c>
      <c r="B90" s="93">
        <f>'Import 04'!B26</f>
        <v>1295.4892649999999</v>
      </c>
      <c r="C90" s="5">
        <v>17946.995999999999</v>
      </c>
      <c r="D90" s="19">
        <f t="shared" si="2"/>
        <v>7.2184184194391089E-6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60" x14ac:dyDescent="0.25">
      <c r="A95" s="12" t="s">
        <v>3</v>
      </c>
      <c r="B95" s="13" t="s">
        <v>156</v>
      </c>
      <c r="C95" s="13" t="s">
        <v>7</v>
      </c>
      <c r="D95" s="14" t="s">
        <v>43</v>
      </c>
    </row>
    <row r="96" spans="1:10" x14ac:dyDescent="0.25">
      <c r="A96" s="10">
        <v>1991</v>
      </c>
      <c r="B96" s="2">
        <f t="shared" ref="B96:B120" si="3">B7</f>
        <v>5.6062079999999996</v>
      </c>
      <c r="C96" s="5">
        <v>6174.0429999999997</v>
      </c>
      <c r="D96" s="75">
        <f t="shared" ref="D96:D120" si="4">(B96/C96)/10000</f>
        <v>9.0802866128402412E-8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>
        <f t="shared" si="3"/>
        <v>6.3740959999999998</v>
      </c>
      <c r="C97" s="5">
        <v>6539.299</v>
      </c>
      <c r="D97" s="75">
        <f t="shared" si="4"/>
        <v>9.7473689458151399E-8</v>
      </c>
    </row>
    <row r="98" spans="1:4" x14ac:dyDescent="0.25">
      <c r="A98" s="10">
        <v>1993</v>
      </c>
      <c r="B98" s="2">
        <f t="shared" si="3"/>
        <v>4.4266730000000001</v>
      </c>
      <c r="C98" s="5">
        <v>6878.7179999999998</v>
      </c>
      <c r="D98" s="75">
        <f t="shared" si="4"/>
        <v>6.4353168715449603E-8</v>
      </c>
    </row>
    <row r="99" spans="1:4" x14ac:dyDescent="0.25">
      <c r="A99" s="10">
        <v>1994</v>
      </c>
      <c r="B99" s="2">
        <f t="shared" si="3"/>
        <v>6.7137019999999996</v>
      </c>
      <c r="C99" s="5">
        <v>7308.7550000000001</v>
      </c>
      <c r="D99" s="75">
        <f t="shared" si="4"/>
        <v>9.1858353440497047E-8</v>
      </c>
    </row>
    <row r="100" spans="1:4" x14ac:dyDescent="0.25">
      <c r="A100" s="10">
        <v>1995</v>
      </c>
      <c r="B100" s="2">
        <f t="shared" si="3"/>
        <v>5.6899280000000001</v>
      </c>
      <c r="C100" s="5">
        <v>7664.06</v>
      </c>
      <c r="D100" s="75">
        <f t="shared" si="4"/>
        <v>7.4241694349992041E-8</v>
      </c>
    </row>
    <row r="101" spans="1:4" x14ac:dyDescent="0.25">
      <c r="A101" s="10">
        <v>1996</v>
      </c>
      <c r="B101" s="2">
        <f t="shared" si="3"/>
        <v>3.9406219999999998</v>
      </c>
      <c r="C101" s="5">
        <v>8100.201</v>
      </c>
      <c r="D101" s="75">
        <f t="shared" si="4"/>
        <v>4.8648447118781376E-8</v>
      </c>
    </row>
    <row r="102" spans="1:4" x14ac:dyDescent="0.25">
      <c r="A102" s="10">
        <v>1997</v>
      </c>
      <c r="B102" s="2">
        <f t="shared" si="3"/>
        <v>3.3122159999999998</v>
      </c>
      <c r="C102" s="5">
        <v>8608.5149999999994</v>
      </c>
      <c r="D102" s="75">
        <f t="shared" si="4"/>
        <v>3.8476043777585335E-8</v>
      </c>
    </row>
    <row r="103" spans="1:4" x14ac:dyDescent="0.25">
      <c r="A103" s="10">
        <v>1998</v>
      </c>
      <c r="B103" s="2">
        <f t="shared" si="3"/>
        <v>3.9153449999999999</v>
      </c>
      <c r="C103" s="5">
        <v>9089.1679999999997</v>
      </c>
      <c r="D103" s="75">
        <f t="shared" si="4"/>
        <v>4.3077045115680554E-8</v>
      </c>
    </row>
    <row r="104" spans="1:4" x14ac:dyDescent="0.25">
      <c r="A104" s="10">
        <v>1999</v>
      </c>
      <c r="B104" s="2">
        <f t="shared" si="3"/>
        <v>5.3999639999999998</v>
      </c>
      <c r="C104" s="5">
        <v>9660.6239999999998</v>
      </c>
      <c r="D104" s="75">
        <f t="shared" si="4"/>
        <v>5.5896637732717885E-8</v>
      </c>
    </row>
    <row r="105" spans="1:4" x14ac:dyDescent="0.25">
      <c r="A105" s="10">
        <v>2000</v>
      </c>
      <c r="B105" s="2">
        <f t="shared" si="3"/>
        <v>5.3925090000000004</v>
      </c>
      <c r="C105" s="5">
        <v>10284.779</v>
      </c>
      <c r="D105" s="75">
        <f t="shared" si="4"/>
        <v>5.2431938498629869E-8</v>
      </c>
    </row>
    <row r="106" spans="1:4" x14ac:dyDescent="0.25">
      <c r="A106" s="10">
        <v>2001</v>
      </c>
      <c r="B106" s="2">
        <f t="shared" si="3"/>
        <v>10.118449999999999</v>
      </c>
      <c r="C106" s="5">
        <v>10621.824000000001</v>
      </c>
      <c r="D106" s="75">
        <f t="shared" si="4"/>
        <v>9.5260945766000251E-8</v>
      </c>
    </row>
    <row r="107" spans="1:4" x14ac:dyDescent="0.25">
      <c r="A107" s="10">
        <v>2002</v>
      </c>
      <c r="B107" s="2">
        <f t="shared" si="3"/>
        <v>13.404857</v>
      </c>
      <c r="C107" s="5">
        <v>10977.513999999999</v>
      </c>
      <c r="D107" s="75">
        <f t="shared" si="4"/>
        <v>1.221119554026531E-7</v>
      </c>
    </row>
    <row r="108" spans="1:4" x14ac:dyDescent="0.25">
      <c r="A108" s="10">
        <v>2003</v>
      </c>
      <c r="B108" s="2">
        <f t="shared" si="3"/>
        <v>12.726922999999999</v>
      </c>
      <c r="C108" s="5">
        <v>11510.67</v>
      </c>
      <c r="D108" s="75">
        <f t="shared" si="4"/>
        <v>1.1056630934602415E-7</v>
      </c>
    </row>
    <row r="109" spans="1:4" x14ac:dyDescent="0.25">
      <c r="A109" s="10">
        <v>2004</v>
      </c>
      <c r="B109" s="2">
        <f t="shared" si="3"/>
        <v>14.544615</v>
      </c>
      <c r="C109" s="5">
        <v>12274.928</v>
      </c>
      <c r="D109" s="75">
        <f t="shared" si="4"/>
        <v>1.1849043024936684E-7</v>
      </c>
    </row>
    <row r="110" spans="1:4" x14ac:dyDescent="0.25">
      <c r="A110" s="10">
        <v>2005</v>
      </c>
      <c r="B110" s="2">
        <f t="shared" si="3"/>
        <v>18.657104</v>
      </c>
      <c r="C110" s="5">
        <v>13093.726000000001</v>
      </c>
      <c r="D110" s="75">
        <f t="shared" si="4"/>
        <v>1.4248888360730933E-7</v>
      </c>
    </row>
    <row r="111" spans="1:4" x14ac:dyDescent="0.25">
      <c r="A111" s="10">
        <v>2006</v>
      </c>
      <c r="B111" s="2">
        <f t="shared" si="3"/>
        <v>22.610883000000001</v>
      </c>
      <c r="C111" s="5">
        <v>13855.888000000001</v>
      </c>
      <c r="D111" s="75">
        <f t="shared" si="4"/>
        <v>1.63186098213265E-7</v>
      </c>
    </row>
    <row r="112" spans="1:4" x14ac:dyDescent="0.25">
      <c r="A112" s="10">
        <v>2007</v>
      </c>
      <c r="B112" s="2">
        <f t="shared" si="3"/>
        <v>20.268450000000001</v>
      </c>
      <c r="C112" s="5">
        <v>14477.635</v>
      </c>
      <c r="D112" s="75">
        <f t="shared" si="4"/>
        <v>1.3999834917788714E-7</v>
      </c>
    </row>
    <row r="113" spans="1:10" x14ac:dyDescent="0.25">
      <c r="A113" s="10">
        <v>2008</v>
      </c>
      <c r="B113" s="2">
        <f t="shared" si="3"/>
        <v>22.317267999999999</v>
      </c>
      <c r="C113" s="5">
        <v>14718.582</v>
      </c>
      <c r="D113" s="75">
        <f t="shared" si="4"/>
        <v>1.5162648140969012E-7</v>
      </c>
    </row>
    <row r="114" spans="1:10" x14ac:dyDescent="0.25">
      <c r="A114" s="10">
        <v>2009</v>
      </c>
      <c r="B114" s="2">
        <f t="shared" si="3"/>
        <v>26.024861000000001</v>
      </c>
      <c r="C114" s="5">
        <v>14418.739</v>
      </c>
      <c r="D114" s="75">
        <f t="shared" si="4"/>
        <v>1.8049332191948272E-7</v>
      </c>
    </row>
    <row r="115" spans="1:10" x14ac:dyDescent="0.25">
      <c r="A115" s="10">
        <v>2010</v>
      </c>
      <c r="B115" s="2">
        <f t="shared" si="3"/>
        <v>24.027443999999999</v>
      </c>
      <c r="C115" s="5">
        <v>14964.371999999999</v>
      </c>
      <c r="D115" s="75">
        <f t="shared" si="4"/>
        <v>1.6056433240232201E-7</v>
      </c>
    </row>
    <row r="116" spans="1:10" x14ac:dyDescent="0.25">
      <c r="A116" s="10">
        <v>2011</v>
      </c>
      <c r="B116" s="2">
        <f t="shared" si="3"/>
        <v>21.289726999999999</v>
      </c>
      <c r="C116" s="5">
        <v>15517.925999999999</v>
      </c>
      <c r="D116" s="75">
        <f t="shared" si="4"/>
        <v>1.3719440987152536E-7</v>
      </c>
    </row>
    <row r="117" spans="1:10" x14ac:dyDescent="0.25">
      <c r="A117" s="10">
        <v>2012</v>
      </c>
      <c r="B117" s="2">
        <f t="shared" si="3"/>
        <v>22.689461000000001</v>
      </c>
      <c r="C117" s="5">
        <v>16155.254999999999</v>
      </c>
      <c r="D117" s="75">
        <f t="shared" si="4"/>
        <v>1.4044631916983051E-7</v>
      </c>
    </row>
    <row r="118" spans="1:10" x14ac:dyDescent="0.25">
      <c r="A118" s="10">
        <v>2013</v>
      </c>
      <c r="B118" s="2">
        <f t="shared" si="3"/>
        <v>24.470265000000001</v>
      </c>
      <c r="C118" s="5">
        <v>16663.16</v>
      </c>
      <c r="D118" s="75">
        <f t="shared" si="4"/>
        <v>1.4685248776342541E-7</v>
      </c>
    </row>
    <row r="119" spans="1:10" x14ac:dyDescent="0.25">
      <c r="A119" s="10">
        <v>2014</v>
      </c>
      <c r="B119" s="2">
        <f t="shared" si="3"/>
        <v>31.726458000000001</v>
      </c>
      <c r="C119" s="5">
        <v>17348.071499999998</v>
      </c>
      <c r="D119" s="75">
        <f t="shared" si="4"/>
        <v>1.8288175720281074E-7</v>
      </c>
    </row>
    <row r="120" spans="1:10" x14ac:dyDescent="0.25">
      <c r="A120" s="11">
        <v>2015</v>
      </c>
      <c r="B120" s="2">
        <f t="shared" si="3"/>
        <v>30.804566999999999</v>
      </c>
      <c r="C120" s="5">
        <v>17946.995999999999</v>
      </c>
      <c r="D120" s="75">
        <f t="shared" si="4"/>
        <v>1.7164191154887424E-7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147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3">
        <f t="shared" ref="B125:B149" si="5">B7+B36</f>
        <v>62.641268000000004</v>
      </c>
      <c r="C125" s="5">
        <v>41239.551378248201</v>
      </c>
      <c r="D125" s="63">
        <f t="shared" ref="D125:D149" si="6">(B125/C125)/100</f>
        <v>1.5189609466275653E-5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3">
        <f t="shared" si="5"/>
        <v>110.05351999999999</v>
      </c>
      <c r="C126" s="5">
        <v>49279.585355094838</v>
      </c>
      <c r="D126" s="63">
        <f t="shared" si="6"/>
        <v>2.2332476867852127E-5</v>
      </c>
      <c r="I126" s="42"/>
    </row>
    <row r="127" spans="1:10" x14ac:dyDescent="0.25">
      <c r="A127" s="10">
        <v>1993</v>
      </c>
      <c r="B127" s="3">
        <f t="shared" si="5"/>
        <v>106.85463299999999</v>
      </c>
      <c r="C127" s="5">
        <v>55802.540100979531</v>
      </c>
      <c r="D127" s="63">
        <f t="shared" si="6"/>
        <v>1.9148704128277542E-5</v>
      </c>
    </row>
    <row r="128" spans="1:10" x14ac:dyDescent="0.25">
      <c r="A128" s="10">
        <v>1994</v>
      </c>
      <c r="B128" s="3">
        <f t="shared" si="5"/>
        <v>133.013238</v>
      </c>
      <c r="C128" s="5">
        <v>81703.496603993364</v>
      </c>
      <c r="D128" s="63">
        <f t="shared" si="6"/>
        <v>1.6279993333051404E-5</v>
      </c>
    </row>
    <row r="129" spans="1:4" x14ac:dyDescent="0.25">
      <c r="A129" s="10">
        <v>1995</v>
      </c>
      <c r="B129" s="3">
        <f t="shared" si="5"/>
        <v>266.86911200000003</v>
      </c>
      <c r="C129" s="5">
        <v>92507.277798198498</v>
      </c>
      <c r="D129" s="63">
        <f t="shared" si="6"/>
        <v>2.8848445046903876E-5</v>
      </c>
    </row>
    <row r="130" spans="1:4" x14ac:dyDescent="0.25">
      <c r="A130" s="10">
        <v>1996</v>
      </c>
      <c r="B130" s="3">
        <f t="shared" si="5"/>
        <v>388.81003000000004</v>
      </c>
      <c r="C130" s="5">
        <v>97160.111573336981</v>
      </c>
      <c r="D130" s="63">
        <f t="shared" si="6"/>
        <v>4.00174540461004E-5</v>
      </c>
    </row>
    <row r="131" spans="1:4" x14ac:dyDescent="0.25">
      <c r="A131" s="10">
        <v>1997</v>
      </c>
      <c r="B131" s="3">
        <f t="shared" si="5"/>
        <v>285.09615199999996</v>
      </c>
      <c r="C131" s="5">
        <v>106659.5079635281</v>
      </c>
      <c r="D131" s="63">
        <f t="shared" si="6"/>
        <v>2.6729558146610589E-5</v>
      </c>
    </row>
    <row r="132" spans="1:4" x14ac:dyDescent="0.25">
      <c r="A132" s="10">
        <v>1998</v>
      </c>
      <c r="B132" s="3">
        <f t="shared" si="5"/>
        <v>335.98686500000002</v>
      </c>
      <c r="C132" s="5">
        <v>98443.743190849113</v>
      </c>
      <c r="D132" s="63">
        <f t="shared" si="6"/>
        <v>3.412983437135615E-5</v>
      </c>
    </row>
    <row r="133" spans="1:4" x14ac:dyDescent="0.25">
      <c r="A133" s="10">
        <v>1999</v>
      </c>
      <c r="B133" s="3">
        <f t="shared" si="5"/>
        <v>291.58306800000003</v>
      </c>
      <c r="C133" s="5">
        <v>86186.156584381664</v>
      </c>
      <c r="D133" s="63">
        <f t="shared" si="6"/>
        <v>3.3831775259002518E-5</v>
      </c>
    </row>
    <row r="134" spans="1:4" x14ac:dyDescent="0.25">
      <c r="A134" s="10">
        <v>2000</v>
      </c>
      <c r="B134" s="3">
        <f t="shared" si="5"/>
        <v>287.51348400000001</v>
      </c>
      <c r="C134" s="5">
        <v>99886.577575544405</v>
      </c>
      <c r="D134" s="63">
        <f t="shared" si="6"/>
        <v>2.8783995906011798E-5</v>
      </c>
    </row>
    <row r="135" spans="1:4" x14ac:dyDescent="0.25">
      <c r="A135" s="10">
        <v>2001</v>
      </c>
      <c r="B135" s="3">
        <f t="shared" si="5"/>
        <v>288.52642600000001</v>
      </c>
      <c r="C135" s="5">
        <v>98203.544965267793</v>
      </c>
      <c r="D135" s="63">
        <f t="shared" si="6"/>
        <v>2.938044915812813E-5</v>
      </c>
    </row>
    <row r="136" spans="1:4" x14ac:dyDescent="0.25">
      <c r="A136" s="10">
        <v>2002</v>
      </c>
      <c r="B136" s="3">
        <f t="shared" si="5"/>
        <v>351.76889499999999</v>
      </c>
      <c r="C136" s="5">
        <v>97933.392356425305</v>
      </c>
      <c r="D136" s="63">
        <f t="shared" si="6"/>
        <v>3.5919198399637674E-5</v>
      </c>
    </row>
    <row r="137" spans="1:4" x14ac:dyDescent="0.25">
      <c r="A137" s="10">
        <v>2003</v>
      </c>
      <c r="B137" s="3">
        <f t="shared" si="5"/>
        <v>338.55611199999998</v>
      </c>
      <c r="C137" s="5">
        <v>94684.582573316715</v>
      </c>
      <c r="D137" s="63">
        <f t="shared" si="6"/>
        <v>3.5756202625474668E-5</v>
      </c>
    </row>
    <row r="138" spans="1:4" x14ac:dyDescent="0.25">
      <c r="A138" s="10">
        <v>2004</v>
      </c>
      <c r="B138" s="3">
        <f t="shared" si="5"/>
        <v>447.68242700000002</v>
      </c>
      <c r="C138" s="5">
        <v>117074.86551527939</v>
      </c>
      <c r="D138" s="63">
        <f t="shared" si="6"/>
        <v>3.8238987081439198E-5</v>
      </c>
    </row>
    <row r="139" spans="1:4" x14ac:dyDescent="0.25">
      <c r="A139" s="10">
        <v>2005</v>
      </c>
      <c r="B139" s="3">
        <f t="shared" si="5"/>
        <v>455.57352000000003</v>
      </c>
      <c r="C139" s="5">
        <v>146566.26631057015</v>
      </c>
      <c r="D139" s="63">
        <f t="shared" si="6"/>
        <v>3.108310878539073E-5</v>
      </c>
    </row>
    <row r="140" spans="1:4" x14ac:dyDescent="0.25">
      <c r="A140" s="10">
        <v>2006</v>
      </c>
      <c r="B140" s="3">
        <f t="shared" si="5"/>
        <v>535.51750799999991</v>
      </c>
      <c r="C140" s="5">
        <v>162590.1460964143</v>
      </c>
      <c r="D140" s="63">
        <f t="shared" si="6"/>
        <v>3.2936652119276863E-5</v>
      </c>
    </row>
    <row r="141" spans="1:4" x14ac:dyDescent="0.25">
      <c r="A141" s="10">
        <v>2007</v>
      </c>
      <c r="B141" s="3">
        <f t="shared" si="5"/>
        <v>888.51230199999998</v>
      </c>
      <c r="C141" s="5">
        <v>207416.49464237894</v>
      </c>
      <c r="D141" s="63">
        <f t="shared" si="6"/>
        <v>4.2837109147560581E-5</v>
      </c>
    </row>
    <row r="142" spans="1:4" x14ac:dyDescent="0.25">
      <c r="A142" s="10">
        <v>2008</v>
      </c>
      <c r="B142" s="3">
        <f t="shared" si="5"/>
        <v>1168.5538710000001</v>
      </c>
      <c r="C142" s="5">
        <v>243982.43787084011</v>
      </c>
      <c r="D142" s="63">
        <f t="shared" si="6"/>
        <v>4.7894999377726176E-5</v>
      </c>
    </row>
    <row r="143" spans="1:4" x14ac:dyDescent="0.25">
      <c r="A143" s="10">
        <v>2009</v>
      </c>
      <c r="B143" s="3">
        <f t="shared" si="5"/>
        <v>469.49337399999996</v>
      </c>
      <c r="C143" s="5">
        <v>233821.6705442575</v>
      </c>
      <c r="D143" s="63">
        <f t="shared" si="6"/>
        <v>2.0079121533396742E-5</v>
      </c>
    </row>
    <row r="144" spans="1:4" x14ac:dyDescent="0.25">
      <c r="A144" s="10">
        <v>2010</v>
      </c>
      <c r="B144" s="3">
        <f t="shared" si="5"/>
        <v>349.00295799999998</v>
      </c>
      <c r="C144" s="5">
        <v>287018.18463752925</v>
      </c>
      <c r="D144" s="63">
        <f t="shared" si="6"/>
        <v>1.2159611365417501E-5</v>
      </c>
    </row>
    <row r="145" spans="1:10" x14ac:dyDescent="0.25">
      <c r="A145" s="10">
        <v>2011</v>
      </c>
      <c r="B145" s="3">
        <f t="shared" si="5"/>
        <v>461.22297900000001</v>
      </c>
      <c r="C145" s="5">
        <v>335415.15670218616</v>
      </c>
      <c r="D145" s="63">
        <f t="shared" si="6"/>
        <v>1.3750809102807423E-5</v>
      </c>
    </row>
    <row r="146" spans="1:10" x14ac:dyDescent="0.25">
      <c r="A146" s="10">
        <v>2012</v>
      </c>
      <c r="B146" s="3">
        <f t="shared" si="5"/>
        <v>312.25169899999997</v>
      </c>
      <c r="C146" s="5">
        <v>369659.70037551981</v>
      </c>
      <c r="D146" s="63">
        <f t="shared" si="6"/>
        <v>8.4470040602964908E-6</v>
      </c>
    </row>
    <row r="147" spans="1:10" x14ac:dyDescent="0.25">
      <c r="A147" s="10">
        <v>2013</v>
      </c>
      <c r="B147" s="3">
        <f t="shared" si="5"/>
        <v>521.40771200000006</v>
      </c>
      <c r="C147" s="5">
        <v>380191.88186037214</v>
      </c>
      <c r="D147" s="63">
        <f t="shared" si="6"/>
        <v>1.371433049671193E-5</v>
      </c>
    </row>
    <row r="148" spans="1:10" x14ac:dyDescent="0.25">
      <c r="A148" s="10">
        <v>2014</v>
      </c>
      <c r="B148" s="3">
        <f t="shared" si="5"/>
        <v>1250.1815240000001</v>
      </c>
      <c r="C148" s="5">
        <v>378416.02053371473</v>
      </c>
      <c r="D148" s="63">
        <f t="shared" si="6"/>
        <v>3.3037225068768353E-5</v>
      </c>
    </row>
    <row r="149" spans="1:10" x14ac:dyDescent="0.25">
      <c r="A149" s="11">
        <v>2015</v>
      </c>
      <c r="B149" s="3">
        <f t="shared" si="5"/>
        <v>1326.2938319999998</v>
      </c>
      <c r="C149" s="6">
        <v>292080.15563330991</v>
      </c>
      <c r="D149" s="63">
        <f t="shared" si="6"/>
        <v>4.5408556741016207E-5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45" x14ac:dyDescent="0.25">
      <c r="A153" s="12" t="s">
        <v>3</v>
      </c>
      <c r="B153" s="13" t="s">
        <v>148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80">
        <f t="shared" ref="B154:B178" si="7">B125</f>
        <v>62.641268000000004</v>
      </c>
      <c r="C154" s="5">
        <v>6174.0429999999997</v>
      </c>
      <c r="D154" s="19">
        <f t="shared" ref="D154:D178" si="8">(B154/C154)/10000</f>
        <v>1.0145907309035589E-6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80">
        <f t="shared" si="7"/>
        <v>110.05351999999999</v>
      </c>
      <c r="C155" s="5">
        <v>6539.299</v>
      </c>
      <c r="D155" s="19">
        <f t="shared" si="8"/>
        <v>1.6829559253981198E-6</v>
      </c>
    </row>
    <row r="156" spans="1:10" x14ac:dyDescent="0.25">
      <c r="A156" s="10">
        <v>1993</v>
      </c>
      <c r="B156" s="80">
        <f t="shared" si="7"/>
        <v>106.85463299999999</v>
      </c>
      <c r="C156" s="5">
        <v>6878.7179999999998</v>
      </c>
      <c r="D156" s="19">
        <f t="shared" si="8"/>
        <v>1.5534091236186741E-6</v>
      </c>
    </row>
    <row r="157" spans="1:10" x14ac:dyDescent="0.25">
      <c r="A157" s="10">
        <v>1994</v>
      </c>
      <c r="B157" s="80">
        <f t="shared" si="7"/>
        <v>133.013238</v>
      </c>
      <c r="C157" s="5">
        <v>7308.7550000000001</v>
      </c>
      <c r="D157" s="19">
        <f t="shared" si="8"/>
        <v>1.8199164974061929E-6</v>
      </c>
    </row>
    <row r="158" spans="1:10" x14ac:dyDescent="0.25">
      <c r="A158" s="10">
        <v>1995</v>
      </c>
      <c r="B158" s="80">
        <f t="shared" si="7"/>
        <v>266.86911200000003</v>
      </c>
      <c r="C158" s="5">
        <v>7664.06</v>
      </c>
      <c r="D158" s="19">
        <f t="shared" si="8"/>
        <v>3.4820853698953298E-6</v>
      </c>
    </row>
    <row r="159" spans="1:10" x14ac:dyDescent="0.25">
      <c r="A159" s="10">
        <v>1996</v>
      </c>
      <c r="B159" s="80">
        <f t="shared" si="7"/>
        <v>388.81003000000004</v>
      </c>
      <c r="C159" s="5">
        <v>8100.201</v>
      </c>
      <c r="D159" s="19">
        <f t="shared" si="8"/>
        <v>4.800004715932358E-6</v>
      </c>
    </row>
    <row r="160" spans="1:10" x14ac:dyDescent="0.25">
      <c r="A160" s="10">
        <v>1997</v>
      </c>
      <c r="B160" s="80">
        <f t="shared" si="7"/>
        <v>285.09615199999996</v>
      </c>
      <c r="C160" s="5">
        <v>8608.5149999999994</v>
      </c>
      <c r="D160" s="19">
        <f t="shared" si="8"/>
        <v>3.3117924752410835E-6</v>
      </c>
    </row>
    <row r="161" spans="1:4" x14ac:dyDescent="0.25">
      <c r="A161" s="10">
        <v>1998</v>
      </c>
      <c r="B161" s="80">
        <f t="shared" si="7"/>
        <v>335.98686500000002</v>
      </c>
      <c r="C161" s="5">
        <v>9089.1679999999997</v>
      </c>
      <c r="D161" s="19">
        <f t="shared" si="8"/>
        <v>3.6965634808378507E-6</v>
      </c>
    </row>
    <row r="162" spans="1:4" x14ac:dyDescent="0.25">
      <c r="A162" s="10">
        <v>1999</v>
      </c>
      <c r="B162" s="80">
        <f t="shared" si="7"/>
        <v>291.58306800000003</v>
      </c>
      <c r="C162" s="5">
        <v>9660.6239999999998</v>
      </c>
      <c r="D162" s="19">
        <f t="shared" si="8"/>
        <v>3.0182632923090686E-6</v>
      </c>
    </row>
    <row r="163" spans="1:4" x14ac:dyDescent="0.25">
      <c r="A163" s="10">
        <v>2000</v>
      </c>
      <c r="B163" s="80">
        <f t="shared" si="7"/>
        <v>287.51348400000001</v>
      </c>
      <c r="C163" s="5">
        <v>10284.779</v>
      </c>
      <c r="D163" s="19">
        <f t="shared" si="8"/>
        <v>2.7955241819002623E-6</v>
      </c>
    </row>
    <row r="164" spans="1:4" x14ac:dyDescent="0.25">
      <c r="A164" s="10">
        <v>2001</v>
      </c>
      <c r="B164" s="80">
        <f t="shared" si="7"/>
        <v>288.52642600000001</v>
      </c>
      <c r="C164" s="5">
        <v>10621.824000000001</v>
      </c>
      <c r="D164" s="19">
        <f t="shared" si="8"/>
        <v>2.7163547993263681E-6</v>
      </c>
    </row>
    <row r="165" spans="1:4" x14ac:dyDescent="0.25">
      <c r="A165" s="10">
        <v>2002</v>
      </c>
      <c r="B165" s="80">
        <f t="shared" si="7"/>
        <v>351.76889499999999</v>
      </c>
      <c r="C165" s="5">
        <v>10977.513999999999</v>
      </c>
      <c r="D165" s="19">
        <f t="shared" si="8"/>
        <v>3.2044495229065523E-6</v>
      </c>
    </row>
    <row r="166" spans="1:4" x14ac:dyDescent="0.25">
      <c r="A166" s="10">
        <v>2003</v>
      </c>
      <c r="B166" s="80">
        <f t="shared" si="7"/>
        <v>338.55611199999998</v>
      </c>
      <c r="C166" s="5">
        <v>11510.67</v>
      </c>
      <c r="D166" s="19">
        <f t="shared" si="8"/>
        <v>2.9412372346700929E-6</v>
      </c>
    </row>
    <row r="167" spans="1:4" x14ac:dyDescent="0.25">
      <c r="A167" s="10">
        <v>2004</v>
      </c>
      <c r="B167" s="80">
        <f t="shared" si="7"/>
        <v>447.68242700000002</v>
      </c>
      <c r="C167" s="5">
        <v>12274.928</v>
      </c>
      <c r="D167" s="19">
        <f t="shared" si="8"/>
        <v>3.6471287407958728E-6</v>
      </c>
    </row>
    <row r="168" spans="1:4" x14ac:dyDescent="0.25">
      <c r="A168" s="10">
        <v>2005</v>
      </c>
      <c r="B168" s="80">
        <f t="shared" si="7"/>
        <v>455.57352000000003</v>
      </c>
      <c r="C168" s="5">
        <v>13093.726000000001</v>
      </c>
      <c r="D168" s="19">
        <f t="shared" si="8"/>
        <v>3.4793268165226614E-6</v>
      </c>
    </row>
    <row r="169" spans="1:4" x14ac:dyDescent="0.25">
      <c r="A169" s="10">
        <v>2006</v>
      </c>
      <c r="B169" s="80">
        <f t="shared" si="7"/>
        <v>535.51750799999991</v>
      </c>
      <c r="C169" s="5">
        <v>13855.888000000001</v>
      </c>
      <c r="D169" s="19">
        <f t="shared" si="8"/>
        <v>3.8649093295211382E-6</v>
      </c>
    </row>
    <row r="170" spans="1:4" x14ac:dyDescent="0.25">
      <c r="A170" s="10">
        <v>2007</v>
      </c>
      <c r="B170" s="80">
        <f t="shared" si="7"/>
        <v>888.51230199999998</v>
      </c>
      <c r="C170" s="5">
        <v>14477.635</v>
      </c>
      <c r="D170" s="19">
        <f t="shared" si="8"/>
        <v>6.1371370531167556E-6</v>
      </c>
    </row>
    <row r="171" spans="1:4" x14ac:dyDescent="0.25">
      <c r="A171" s="10">
        <v>2008</v>
      </c>
      <c r="B171" s="80">
        <f t="shared" si="7"/>
        <v>1168.5538710000001</v>
      </c>
      <c r="C171" s="5">
        <v>14718.582</v>
      </c>
      <c r="D171" s="19">
        <f t="shared" si="8"/>
        <v>7.9393101251193899E-6</v>
      </c>
    </row>
    <row r="172" spans="1:4" x14ac:dyDescent="0.25">
      <c r="A172" s="10">
        <v>2009</v>
      </c>
      <c r="B172" s="80">
        <f t="shared" si="7"/>
        <v>469.49337399999996</v>
      </c>
      <c r="C172" s="5">
        <v>14418.739</v>
      </c>
      <c r="D172" s="19">
        <f t="shared" si="8"/>
        <v>3.2561333830926549E-6</v>
      </c>
    </row>
    <row r="173" spans="1:4" x14ac:dyDescent="0.25">
      <c r="A173" s="10">
        <v>2010</v>
      </c>
      <c r="B173" s="80">
        <f t="shared" si="7"/>
        <v>349.00295799999998</v>
      </c>
      <c r="C173" s="5">
        <v>14964.371999999999</v>
      </c>
      <c r="D173" s="19">
        <f t="shared" si="8"/>
        <v>2.3322258895996435E-6</v>
      </c>
    </row>
    <row r="174" spans="1:4" x14ac:dyDescent="0.25">
      <c r="A174" s="10">
        <v>2011</v>
      </c>
      <c r="B174" s="80">
        <f t="shared" si="7"/>
        <v>461.22297900000001</v>
      </c>
      <c r="C174" s="5">
        <v>15517.925999999999</v>
      </c>
      <c r="D174" s="19">
        <f t="shared" si="8"/>
        <v>2.9721947314351159E-6</v>
      </c>
    </row>
    <row r="175" spans="1:4" x14ac:dyDescent="0.25">
      <c r="A175" s="10">
        <v>2012</v>
      </c>
      <c r="B175" s="80">
        <f t="shared" si="7"/>
        <v>312.25169899999997</v>
      </c>
      <c r="C175" s="5">
        <v>16155.254999999999</v>
      </c>
      <c r="D175" s="19">
        <f t="shared" si="8"/>
        <v>1.9328181387418521E-6</v>
      </c>
    </row>
    <row r="176" spans="1:4" x14ac:dyDescent="0.25">
      <c r="A176" s="10">
        <v>2013</v>
      </c>
      <c r="B176" s="80">
        <f t="shared" si="7"/>
        <v>521.40771200000006</v>
      </c>
      <c r="C176" s="5">
        <v>16663.16</v>
      </c>
      <c r="D176" s="19">
        <f t="shared" si="8"/>
        <v>3.1291046356153341E-6</v>
      </c>
    </row>
    <row r="177" spans="1:10" x14ac:dyDescent="0.25">
      <c r="A177" s="10">
        <v>2014</v>
      </c>
      <c r="B177" s="80">
        <f t="shared" si="7"/>
        <v>1250.1815240000001</v>
      </c>
      <c r="C177" s="5">
        <v>17348.071499999998</v>
      </c>
      <c r="D177" s="19">
        <f t="shared" si="8"/>
        <v>7.2064582164075131E-6</v>
      </c>
    </row>
    <row r="178" spans="1:10" x14ac:dyDescent="0.25">
      <c r="A178" s="11">
        <v>2015</v>
      </c>
      <c r="B178" s="80">
        <f t="shared" si="7"/>
        <v>1326.2938319999998</v>
      </c>
      <c r="C178" s="5">
        <v>17946.995999999999</v>
      </c>
      <c r="D178" s="19">
        <f t="shared" si="8"/>
        <v>7.3900603309879823E-6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75" x14ac:dyDescent="0.25">
      <c r="A183" s="12" t="s">
        <v>3</v>
      </c>
      <c r="B183" s="13" t="s">
        <v>149</v>
      </c>
      <c r="C183" s="13" t="s">
        <v>150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80">
        <f t="shared" ref="B184:B208" si="9">B154</f>
        <v>62.641268000000004</v>
      </c>
      <c r="C184" s="80">
        <f>Tabla11619264082[[#This Row],[Balanza Comercial Absoluta Colombia 
(US$ millones)]]/2</f>
        <v>31.320634000000002</v>
      </c>
      <c r="D184" s="5">
        <v>41239.551378248201</v>
      </c>
      <c r="E184" s="63">
        <f t="shared" ref="E184:E208" si="10">C184/(D184*100)</f>
        <v>7.5948047331378265E-6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80">
        <f t="shared" si="9"/>
        <v>110.05351999999999</v>
      </c>
      <c r="C185" s="80">
        <f>Tabla11619264082[[#This Row],[Balanza Comercial Absoluta Colombia 
(US$ millones)]]/2</f>
        <v>55.026759999999996</v>
      </c>
      <c r="D185" s="5">
        <v>49279.585355094838</v>
      </c>
      <c r="E185" s="63">
        <f t="shared" si="10"/>
        <v>1.1166238433926064E-5</v>
      </c>
    </row>
    <row r="186" spans="1:10" x14ac:dyDescent="0.25">
      <c r="A186" s="10">
        <v>1993</v>
      </c>
      <c r="B186" s="80">
        <f t="shared" si="9"/>
        <v>106.85463299999999</v>
      </c>
      <c r="C186" s="80">
        <f>Tabla11619264082[[#This Row],[Balanza Comercial Absoluta Colombia 
(US$ millones)]]/2</f>
        <v>53.427316499999996</v>
      </c>
      <c r="D186" s="5">
        <v>55802.540100979531</v>
      </c>
      <c r="E186" s="63">
        <f t="shared" si="10"/>
        <v>9.574352064138771E-6</v>
      </c>
    </row>
    <row r="187" spans="1:10" x14ac:dyDescent="0.25">
      <c r="A187" s="10">
        <v>1994</v>
      </c>
      <c r="B187" s="80">
        <f t="shared" si="9"/>
        <v>133.013238</v>
      </c>
      <c r="C187" s="80">
        <f>Tabla11619264082[[#This Row],[Balanza Comercial Absoluta Colombia 
(US$ millones)]]/2</f>
        <v>66.506619000000001</v>
      </c>
      <c r="D187" s="5">
        <v>81703.496603993364</v>
      </c>
      <c r="E187" s="63">
        <f t="shared" si="10"/>
        <v>8.1399966665257021E-6</v>
      </c>
    </row>
    <row r="188" spans="1:10" x14ac:dyDescent="0.25">
      <c r="A188" s="10">
        <v>1995</v>
      </c>
      <c r="B188" s="80">
        <f t="shared" si="9"/>
        <v>266.86911200000003</v>
      </c>
      <c r="C188" s="80">
        <f>Tabla11619264082[[#This Row],[Balanza Comercial Absoluta Colombia 
(US$ millones)]]/2</f>
        <v>133.43455600000001</v>
      </c>
      <c r="D188" s="5">
        <v>92507.277798198498</v>
      </c>
      <c r="E188" s="63">
        <f t="shared" si="10"/>
        <v>1.4424222523451938E-5</v>
      </c>
    </row>
    <row r="189" spans="1:10" x14ac:dyDescent="0.25">
      <c r="A189" s="10">
        <v>1996</v>
      </c>
      <c r="B189" s="80">
        <f t="shared" si="9"/>
        <v>388.81003000000004</v>
      </c>
      <c r="C189" s="80">
        <f>Tabla11619264082[[#This Row],[Balanza Comercial Absoluta Colombia 
(US$ millones)]]/2</f>
        <v>194.40501500000002</v>
      </c>
      <c r="D189" s="5">
        <v>97160.111573336981</v>
      </c>
      <c r="E189" s="63">
        <f t="shared" si="10"/>
        <v>2.00087270230502E-5</v>
      </c>
    </row>
    <row r="190" spans="1:10" x14ac:dyDescent="0.25">
      <c r="A190" s="10">
        <v>1997</v>
      </c>
      <c r="B190" s="80">
        <f t="shared" si="9"/>
        <v>285.09615199999996</v>
      </c>
      <c r="C190" s="80">
        <f>Tabla11619264082[[#This Row],[Balanza Comercial Absoluta Colombia 
(US$ millones)]]/2</f>
        <v>142.54807599999998</v>
      </c>
      <c r="D190" s="5">
        <v>106659.5079635281</v>
      </c>
      <c r="E190" s="63">
        <f t="shared" si="10"/>
        <v>1.3364779073305296E-5</v>
      </c>
    </row>
    <row r="191" spans="1:10" x14ac:dyDescent="0.25">
      <c r="A191" s="10">
        <v>1998</v>
      </c>
      <c r="B191" s="80">
        <f t="shared" si="9"/>
        <v>335.98686500000002</v>
      </c>
      <c r="C191" s="80">
        <f>Tabla11619264082[[#This Row],[Balanza Comercial Absoluta Colombia 
(US$ millones)]]/2</f>
        <v>167.99343250000001</v>
      </c>
      <c r="D191" s="5">
        <v>98443.743190849113</v>
      </c>
      <c r="E191" s="63">
        <f t="shared" si="10"/>
        <v>1.7064917185678079E-5</v>
      </c>
    </row>
    <row r="192" spans="1:10" x14ac:dyDescent="0.25">
      <c r="A192" s="10">
        <v>1999</v>
      </c>
      <c r="B192" s="80">
        <f t="shared" si="9"/>
        <v>291.58306800000003</v>
      </c>
      <c r="C192" s="80">
        <f>Tabla11619264082[[#This Row],[Balanza Comercial Absoluta Colombia 
(US$ millones)]]/2</f>
        <v>145.79153400000001</v>
      </c>
      <c r="D192" s="5">
        <v>86186.156584381664</v>
      </c>
      <c r="E192" s="63">
        <f t="shared" si="10"/>
        <v>1.6915887629501255E-5</v>
      </c>
    </row>
    <row r="193" spans="1:5" x14ac:dyDescent="0.25">
      <c r="A193" s="10">
        <v>2000</v>
      </c>
      <c r="B193" s="80">
        <f t="shared" si="9"/>
        <v>287.51348400000001</v>
      </c>
      <c r="C193" s="80">
        <f>Tabla11619264082[[#This Row],[Balanza Comercial Absoluta Colombia 
(US$ millones)]]/2</f>
        <v>143.756742</v>
      </c>
      <c r="D193" s="5">
        <v>99886.577575544405</v>
      </c>
      <c r="E193" s="63">
        <f t="shared" si="10"/>
        <v>1.4391997953005901E-5</v>
      </c>
    </row>
    <row r="194" spans="1:5" x14ac:dyDescent="0.25">
      <c r="A194" s="10">
        <v>2001</v>
      </c>
      <c r="B194" s="80">
        <f t="shared" si="9"/>
        <v>288.52642600000001</v>
      </c>
      <c r="C194" s="80">
        <f>Tabla11619264082[[#This Row],[Balanza Comercial Absoluta Colombia 
(US$ millones)]]/2</f>
        <v>144.26321300000001</v>
      </c>
      <c r="D194" s="5">
        <v>98203.544965267793</v>
      </c>
      <c r="E194" s="63">
        <f t="shared" si="10"/>
        <v>1.4690224579064065E-5</v>
      </c>
    </row>
    <row r="195" spans="1:5" x14ac:dyDescent="0.25">
      <c r="A195" s="10">
        <v>2002</v>
      </c>
      <c r="B195" s="80">
        <f t="shared" si="9"/>
        <v>351.76889499999999</v>
      </c>
      <c r="C195" s="80">
        <f>Tabla11619264082[[#This Row],[Balanza Comercial Absoluta Colombia 
(US$ millones)]]/2</f>
        <v>175.88444749999999</v>
      </c>
      <c r="D195" s="5">
        <v>97933.392356425305</v>
      </c>
      <c r="E195" s="63">
        <f t="shared" si="10"/>
        <v>1.7959599199818837E-5</v>
      </c>
    </row>
    <row r="196" spans="1:5" x14ac:dyDescent="0.25">
      <c r="A196" s="10">
        <v>2003</v>
      </c>
      <c r="B196" s="80">
        <f t="shared" si="9"/>
        <v>338.55611199999998</v>
      </c>
      <c r="C196" s="80">
        <f>Tabla11619264082[[#This Row],[Balanza Comercial Absoluta Colombia 
(US$ millones)]]/2</f>
        <v>169.27805599999999</v>
      </c>
      <c r="D196" s="5">
        <v>94684.582573316715</v>
      </c>
      <c r="E196" s="63">
        <f t="shared" si="10"/>
        <v>1.7878101312737334E-5</v>
      </c>
    </row>
    <row r="197" spans="1:5" x14ac:dyDescent="0.25">
      <c r="A197" s="10">
        <v>2004</v>
      </c>
      <c r="B197" s="80">
        <f t="shared" si="9"/>
        <v>447.68242700000002</v>
      </c>
      <c r="C197" s="80">
        <f>Tabla11619264082[[#This Row],[Balanza Comercial Absoluta Colombia 
(US$ millones)]]/2</f>
        <v>223.84121350000001</v>
      </c>
      <c r="D197" s="5">
        <v>117074.86551527939</v>
      </c>
      <c r="E197" s="63">
        <f t="shared" si="10"/>
        <v>1.9119493540719599E-5</v>
      </c>
    </row>
    <row r="198" spans="1:5" x14ac:dyDescent="0.25">
      <c r="A198" s="10">
        <v>2005</v>
      </c>
      <c r="B198" s="80">
        <f t="shared" si="9"/>
        <v>455.57352000000003</v>
      </c>
      <c r="C198" s="80">
        <f>Tabla11619264082[[#This Row],[Balanza Comercial Absoluta Colombia 
(US$ millones)]]/2</f>
        <v>227.78676000000002</v>
      </c>
      <c r="D198" s="5">
        <v>146566.26631057015</v>
      </c>
      <c r="E198" s="63">
        <f t="shared" si="10"/>
        <v>1.5541554392695365E-5</v>
      </c>
    </row>
    <row r="199" spans="1:5" x14ac:dyDescent="0.25">
      <c r="A199" s="10">
        <v>2006</v>
      </c>
      <c r="B199" s="80">
        <f t="shared" si="9"/>
        <v>535.51750799999991</v>
      </c>
      <c r="C199" s="80">
        <f>Tabla11619264082[[#This Row],[Balanza Comercial Absoluta Colombia 
(US$ millones)]]/2</f>
        <v>267.75875399999995</v>
      </c>
      <c r="D199" s="5">
        <v>162590.1460964143</v>
      </c>
      <c r="E199" s="63">
        <f t="shared" si="10"/>
        <v>1.6468326059638432E-5</v>
      </c>
    </row>
    <row r="200" spans="1:5" x14ac:dyDescent="0.25">
      <c r="A200" s="10">
        <v>2007</v>
      </c>
      <c r="B200" s="80">
        <f t="shared" si="9"/>
        <v>888.51230199999998</v>
      </c>
      <c r="C200" s="80">
        <f>Tabla11619264082[[#This Row],[Balanza Comercial Absoluta Colombia 
(US$ millones)]]/2</f>
        <v>444.25615099999999</v>
      </c>
      <c r="D200" s="5">
        <v>207416.49464237894</v>
      </c>
      <c r="E200" s="63">
        <f t="shared" si="10"/>
        <v>2.1418554573780287E-5</v>
      </c>
    </row>
    <row r="201" spans="1:5" x14ac:dyDescent="0.25">
      <c r="A201" s="10">
        <v>2008</v>
      </c>
      <c r="B201" s="80">
        <f t="shared" si="9"/>
        <v>1168.5538710000001</v>
      </c>
      <c r="C201" s="80">
        <f>Tabla11619264082[[#This Row],[Balanza Comercial Absoluta Colombia 
(US$ millones)]]/2</f>
        <v>584.27693550000004</v>
      </c>
      <c r="D201" s="5">
        <v>243982.43787084011</v>
      </c>
      <c r="E201" s="63">
        <f t="shared" si="10"/>
        <v>2.3947499688863085E-5</v>
      </c>
    </row>
    <row r="202" spans="1:5" x14ac:dyDescent="0.25">
      <c r="A202" s="10">
        <v>2009</v>
      </c>
      <c r="B202" s="80">
        <f t="shared" si="9"/>
        <v>469.49337399999996</v>
      </c>
      <c r="C202" s="80">
        <f>Tabla11619264082[[#This Row],[Balanza Comercial Absoluta Colombia 
(US$ millones)]]/2</f>
        <v>234.74668699999998</v>
      </c>
      <c r="D202" s="5">
        <v>233821.6705442575</v>
      </c>
      <c r="E202" s="63">
        <f t="shared" si="10"/>
        <v>1.0039560766698371E-5</v>
      </c>
    </row>
    <row r="203" spans="1:5" x14ac:dyDescent="0.25">
      <c r="A203" s="10">
        <v>2010</v>
      </c>
      <c r="B203" s="80">
        <f t="shared" si="9"/>
        <v>349.00295799999998</v>
      </c>
      <c r="C203" s="80">
        <f>Tabla11619264082[[#This Row],[Balanza Comercial Absoluta Colombia 
(US$ millones)]]/2</f>
        <v>174.50147899999999</v>
      </c>
      <c r="D203" s="5">
        <v>287018.18463752925</v>
      </c>
      <c r="E203" s="63">
        <f t="shared" si="10"/>
        <v>6.0798056827087513E-6</v>
      </c>
    </row>
    <row r="204" spans="1:5" x14ac:dyDescent="0.25">
      <c r="A204" s="10">
        <v>2011</v>
      </c>
      <c r="B204" s="80">
        <f t="shared" si="9"/>
        <v>461.22297900000001</v>
      </c>
      <c r="C204" s="80">
        <f>Tabla11619264082[[#This Row],[Balanza Comercial Absoluta Colombia 
(US$ millones)]]/2</f>
        <v>230.6114895</v>
      </c>
      <c r="D204" s="5">
        <v>335415.15670218616</v>
      </c>
      <c r="E204" s="63">
        <f t="shared" si="10"/>
        <v>6.8754045514037124E-6</v>
      </c>
    </row>
    <row r="205" spans="1:5" x14ac:dyDescent="0.25">
      <c r="A205" s="10">
        <v>2012</v>
      </c>
      <c r="B205" s="80">
        <f t="shared" si="9"/>
        <v>312.25169899999997</v>
      </c>
      <c r="C205" s="80">
        <f>Tabla11619264082[[#This Row],[Balanza Comercial Absoluta Colombia 
(US$ millones)]]/2</f>
        <v>156.12584949999999</v>
      </c>
      <c r="D205" s="5">
        <v>369659.70037551981</v>
      </c>
      <c r="E205" s="63">
        <f t="shared" si="10"/>
        <v>4.2235020301482446E-6</v>
      </c>
    </row>
    <row r="206" spans="1:5" x14ac:dyDescent="0.25">
      <c r="A206" s="10">
        <v>2013</v>
      </c>
      <c r="B206" s="80">
        <f t="shared" si="9"/>
        <v>521.40771200000006</v>
      </c>
      <c r="C206" s="80">
        <f>Tabla11619264082[[#This Row],[Balanza Comercial Absoluta Colombia 
(US$ millones)]]/2</f>
        <v>260.70385600000003</v>
      </c>
      <c r="D206" s="5">
        <v>380191.88186037214</v>
      </c>
      <c r="E206" s="63">
        <f t="shared" si="10"/>
        <v>6.8571652483559651E-6</v>
      </c>
    </row>
    <row r="207" spans="1:5" x14ac:dyDescent="0.25">
      <c r="A207" s="10">
        <v>2014</v>
      </c>
      <c r="B207" s="80">
        <f t="shared" si="9"/>
        <v>1250.1815240000001</v>
      </c>
      <c r="C207" s="80">
        <f>Tabla11619264082[[#This Row],[Balanza Comercial Absoluta Colombia 
(US$ millones)]]/2</f>
        <v>625.09076200000004</v>
      </c>
      <c r="D207" s="5">
        <v>378416.02053371473</v>
      </c>
      <c r="E207" s="63">
        <f t="shared" si="10"/>
        <v>1.6518612534384177E-5</v>
      </c>
    </row>
    <row r="208" spans="1:5" x14ac:dyDescent="0.25">
      <c r="A208" s="11">
        <v>2015</v>
      </c>
      <c r="B208" s="80">
        <f t="shared" si="9"/>
        <v>1326.2938319999998</v>
      </c>
      <c r="C208" s="85">
        <f>Tabla11619264082[[#This Row],[Balanza Comercial Absoluta Colombia 
(US$ millones)]]/2</f>
        <v>663.14691599999992</v>
      </c>
      <c r="D208" s="6">
        <v>292080.15563330991</v>
      </c>
      <c r="E208" s="63">
        <f t="shared" si="10"/>
        <v>2.2704278370508103E-5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60" x14ac:dyDescent="0.25">
      <c r="A212" s="28" t="s">
        <v>3</v>
      </c>
      <c r="B212" s="29" t="s">
        <v>148</v>
      </c>
      <c r="C212" s="29" t="s">
        <v>151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80">
        <f t="shared" ref="B213:B237" si="11">B125</f>
        <v>62.641268000000004</v>
      </c>
      <c r="C213" s="80">
        <f>Tabla1161721274183[[#This Row],[Balanza Comercial Absoluta USA
(US$ millones)]]/2</f>
        <v>31.320634000000002</v>
      </c>
      <c r="D213" s="5">
        <v>6174.0429999999997</v>
      </c>
      <c r="E213" s="106">
        <f t="shared" ref="E213:E237" si="12">(C213/D213)/10000</f>
        <v>5.0729536545177944E-7</v>
      </c>
    </row>
    <row r="214" spans="1:10" x14ac:dyDescent="0.25">
      <c r="A214" s="31">
        <v>1992</v>
      </c>
      <c r="B214" s="80">
        <f t="shared" si="11"/>
        <v>110.05351999999999</v>
      </c>
      <c r="C214" s="80">
        <f>Tabla1161721274183[[#This Row],[Balanza Comercial Absoluta USA
(US$ millones)]]/2</f>
        <v>55.026759999999996</v>
      </c>
      <c r="D214" s="5">
        <v>6539.299</v>
      </c>
      <c r="E214" s="106">
        <f t="shared" si="12"/>
        <v>8.414779626990599E-7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80">
        <f t="shared" si="11"/>
        <v>106.85463299999999</v>
      </c>
      <c r="C215" s="80">
        <f>Tabla1161721274183[[#This Row],[Balanza Comercial Absoluta USA
(US$ millones)]]/2</f>
        <v>53.427316499999996</v>
      </c>
      <c r="D215" s="5">
        <v>6878.7179999999998</v>
      </c>
      <c r="E215" s="106">
        <f t="shared" si="12"/>
        <v>7.7670456180933706E-7</v>
      </c>
    </row>
    <row r="216" spans="1:10" x14ac:dyDescent="0.25">
      <c r="A216" s="31">
        <v>1994</v>
      </c>
      <c r="B216" s="80">
        <f t="shared" si="11"/>
        <v>133.013238</v>
      </c>
      <c r="C216" s="80">
        <f>Tabla1161721274183[[#This Row],[Balanza Comercial Absoluta USA
(US$ millones)]]/2</f>
        <v>66.506619000000001</v>
      </c>
      <c r="D216" s="5">
        <v>7308.7550000000001</v>
      </c>
      <c r="E216" s="106">
        <f t="shared" si="12"/>
        <v>9.0995824870309645E-7</v>
      </c>
    </row>
    <row r="217" spans="1:10" x14ac:dyDescent="0.25">
      <c r="A217" s="31">
        <v>1995</v>
      </c>
      <c r="B217" s="80">
        <f t="shared" si="11"/>
        <v>266.86911200000003</v>
      </c>
      <c r="C217" s="80">
        <f>Tabla1161721274183[[#This Row],[Balanza Comercial Absoluta USA
(US$ millones)]]/2</f>
        <v>133.43455600000001</v>
      </c>
      <c r="D217" s="5">
        <v>7664.06</v>
      </c>
      <c r="E217" s="106">
        <f t="shared" si="12"/>
        <v>1.7410426849476649E-6</v>
      </c>
    </row>
    <row r="218" spans="1:10" x14ac:dyDescent="0.25">
      <c r="A218" s="31">
        <v>1996</v>
      </c>
      <c r="B218" s="80">
        <f t="shared" si="11"/>
        <v>388.81003000000004</v>
      </c>
      <c r="C218" s="80">
        <f>Tabla1161721274183[[#This Row],[Balanza Comercial Absoluta USA
(US$ millones)]]/2</f>
        <v>194.40501500000002</v>
      </c>
      <c r="D218" s="5">
        <v>8100.201</v>
      </c>
      <c r="E218" s="106">
        <f t="shared" si="12"/>
        <v>2.400002357966179E-6</v>
      </c>
    </row>
    <row r="219" spans="1:10" x14ac:dyDescent="0.25">
      <c r="A219" s="31">
        <v>1997</v>
      </c>
      <c r="B219" s="80">
        <f t="shared" si="11"/>
        <v>285.09615199999996</v>
      </c>
      <c r="C219" s="80">
        <f>Tabla1161721274183[[#This Row],[Balanza Comercial Absoluta USA
(US$ millones)]]/2</f>
        <v>142.54807599999998</v>
      </c>
      <c r="D219" s="5">
        <v>8608.5149999999994</v>
      </c>
      <c r="E219" s="106">
        <f t="shared" si="12"/>
        <v>1.6558962376205417E-6</v>
      </c>
    </row>
    <row r="220" spans="1:10" x14ac:dyDescent="0.25">
      <c r="A220" s="31">
        <v>1998</v>
      </c>
      <c r="B220" s="80">
        <f t="shared" si="11"/>
        <v>335.98686500000002</v>
      </c>
      <c r="C220" s="80">
        <f>Tabla1161721274183[[#This Row],[Balanza Comercial Absoluta USA
(US$ millones)]]/2</f>
        <v>167.99343250000001</v>
      </c>
      <c r="D220" s="5">
        <v>9089.1679999999997</v>
      </c>
      <c r="E220" s="106">
        <f t="shared" si="12"/>
        <v>1.8482817404189253E-6</v>
      </c>
    </row>
    <row r="221" spans="1:10" x14ac:dyDescent="0.25">
      <c r="A221" s="31">
        <v>1999</v>
      </c>
      <c r="B221" s="80">
        <f t="shared" si="11"/>
        <v>291.58306800000003</v>
      </c>
      <c r="C221" s="80">
        <f>Tabla1161721274183[[#This Row],[Balanza Comercial Absoluta USA
(US$ millones)]]/2</f>
        <v>145.79153400000001</v>
      </c>
      <c r="D221" s="5">
        <v>9660.6239999999998</v>
      </c>
      <c r="E221" s="106">
        <f t="shared" si="12"/>
        <v>1.5091316461545343E-6</v>
      </c>
    </row>
    <row r="222" spans="1:10" x14ac:dyDescent="0.25">
      <c r="A222" s="31">
        <v>2000</v>
      </c>
      <c r="B222" s="80">
        <f t="shared" si="11"/>
        <v>287.51348400000001</v>
      </c>
      <c r="C222" s="80">
        <f>Tabla1161721274183[[#This Row],[Balanza Comercial Absoluta USA
(US$ millones)]]/2</f>
        <v>143.756742</v>
      </c>
      <c r="D222" s="5">
        <v>10284.779</v>
      </c>
      <c r="E222" s="106">
        <f t="shared" si="12"/>
        <v>1.3977620909501312E-6</v>
      </c>
    </row>
    <row r="223" spans="1:10" x14ac:dyDescent="0.25">
      <c r="A223" s="31">
        <v>2001</v>
      </c>
      <c r="B223" s="80">
        <f t="shared" si="11"/>
        <v>288.52642600000001</v>
      </c>
      <c r="C223" s="80">
        <f>Tabla1161721274183[[#This Row],[Balanza Comercial Absoluta USA
(US$ millones)]]/2</f>
        <v>144.26321300000001</v>
      </c>
      <c r="D223" s="5">
        <v>10621.824000000001</v>
      </c>
      <c r="E223" s="106">
        <f t="shared" si="12"/>
        <v>1.3581773996631841E-6</v>
      </c>
    </row>
    <row r="224" spans="1:10" x14ac:dyDescent="0.25">
      <c r="A224" s="31">
        <v>2002</v>
      </c>
      <c r="B224" s="80">
        <f t="shared" si="11"/>
        <v>351.76889499999999</v>
      </c>
      <c r="C224" s="80">
        <f>Tabla1161721274183[[#This Row],[Balanza Comercial Absoluta USA
(US$ millones)]]/2</f>
        <v>175.88444749999999</v>
      </c>
      <c r="D224" s="5">
        <v>10977.513999999999</v>
      </c>
      <c r="E224" s="106">
        <f t="shared" si="12"/>
        <v>1.6022247614532762E-6</v>
      </c>
    </row>
    <row r="225" spans="1:5" x14ac:dyDescent="0.25">
      <c r="A225" s="31">
        <v>2003</v>
      </c>
      <c r="B225" s="80">
        <f t="shared" si="11"/>
        <v>338.55611199999998</v>
      </c>
      <c r="C225" s="80">
        <f>Tabla1161721274183[[#This Row],[Balanza Comercial Absoluta USA
(US$ millones)]]/2</f>
        <v>169.27805599999999</v>
      </c>
      <c r="D225" s="5">
        <v>11510.67</v>
      </c>
      <c r="E225" s="106">
        <f t="shared" si="12"/>
        <v>1.4706186173350465E-6</v>
      </c>
    </row>
    <row r="226" spans="1:5" x14ac:dyDescent="0.25">
      <c r="A226" s="31">
        <v>2004</v>
      </c>
      <c r="B226" s="80">
        <f t="shared" si="11"/>
        <v>447.68242700000002</v>
      </c>
      <c r="C226" s="80">
        <f>Tabla1161721274183[[#This Row],[Balanza Comercial Absoluta USA
(US$ millones)]]/2</f>
        <v>223.84121350000001</v>
      </c>
      <c r="D226" s="5">
        <v>12274.928</v>
      </c>
      <c r="E226" s="106">
        <f t="shared" si="12"/>
        <v>1.8235643703979364E-6</v>
      </c>
    </row>
    <row r="227" spans="1:5" x14ac:dyDescent="0.25">
      <c r="A227" s="31">
        <v>2005</v>
      </c>
      <c r="B227" s="80">
        <f t="shared" si="11"/>
        <v>455.57352000000003</v>
      </c>
      <c r="C227" s="80">
        <f>Tabla1161721274183[[#This Row],[Balanza Comercial Absoluta USA
(US$ millones)]]/2</f>
        <v>227.78676000000002</v>
      </c>
      <c r="D227" s="5">
        <v>13093.726000000001</v>
      </c>
      <c r="E227" s="106">
        <f t="shared" si="12"/>
        <v>1.7396634082613307E-6</v>
      </c>
    </row>
    <row r="228" spans="1:5" x14ac:dyDescent="0.25">
      <c r="A228" s="31">
        <v>2006</v>
      </c>
      <c r="B228" s="80">
        <f t="shared" si="11"/>
        <v>535.51750799999991</v>
      </c>
      <c r="C228" s="80">
        <f>Tabla1161721274183[[#This Row],[Balanza Comercial Absoluta USA
(US$ millones)]]/2</f>
        <v>267.75875399999995</v>
      </c>
      <c r="D228" s="5">
        <v>13855.888000000001</v>
      </c>
      <c r="E228" s="106">
        <f t="shared" si="12"/>
        <v>1.9324546647605691E-6</v>
      </c>
    </row>
    <row r="229" spans="1:5" x14ac:dyDescent="0.25">
      <c r="A229" s="31">
        <v>2007</v>
      </c>
      <c r="B229" s="80">
        <f t="shared" si="11"/>
        <v>888.51230199999998</v>
      </c>
      <c r="C229" s="80">
        <f>Tabla1161721274183[[#This Row],[Balanza Comercial Absoluta USA
(US$ millones)]]/2</f>
        <v>444.25615099999999</v>
      </c>
      <c r="D229" s="5">
        <v>14477.635</v>
      </c>
      <c r="E229" s="106">
        <f t="shared" si="12"/>
        <v>3.0685685265583778E-6</v>
      </c>
    </row>
    <row r="230" spans="1:5" x14ac:dyDescent="0.25">
      <c r="A230" s="31">
        <v>2008</v>
      </c>
      <c r="B230" s="80">
        <f t="shared" si="11"/>
        <v>1168.5538710000001</v>
      </c>
      <c r="C230" s="80">
        <f>Tabla1161721274183[[#This Row],[Balanza Comercial Absoluta USA
(US$ millones)]]/2</f>
        <v>584.27693550000004</v>
      </c>
      <c r="D230" s="5">
        <v>14718.582</v>
      </c>
      <c r="E230" s="106">
        <f t="shared" si="12"/>
        <v>3.9696550625596949E-6</v>
      </c>
    </row>
    <row r="231" spans="1:5" x14ac:dyDescent="0.25">
      <c r="A231" s="31">
        <v>2009</v>
      </c>
      <c r="B231" s="80">
        <f t="shared" si="11"/>
        <v>469.49337399999996</v>
      </c>
      <c r="C231" s="80">
        <f>Tabla1161721274183[[#This Row],[Balanza Comercial Absoluta USA
(US$ millones)]]/2</f>
        <v>234.74668699999998</v>
      </c>
      <c r="D231" s="5">
        <v>14418.739</v>
      </c>
      <c r="E231" s="106">
        <f t="shared" si="12"/>
        <v>1.6280666915463275E-6</v>
      </c>
    </row>
    <row r="232" spans="1:5" x14ac:dyDescent="0.25">
      <c r="A232" s="31">
        <v>2010</v>
      </c>
      <c r="B232" s="80">
        <f t="shared" si="11"/>
        <v>349.00295799999998</v>
      </c>
      <c r="C232" s="80">
        <f>Tabla1161721274183[[#This Row],[Balanza Comercial Absoluta USA
(US$ millones)]]/2</f>
        <v>174.50147899999999</v>
      </c>
      <c r="D232" s="5">
        <v>14964.371999999999</v>
      </c>
      <c r="E232" s="106">
        <f t="shared" si="12"/>
        <v>1.1661129447998218E-6</v>
      </c>
    </row>
    <row r="233" spans="1:5" x14ac:dyDescent="0.25">
      <c r="A233" s="31">
        <v>2011</v>
      </c>
      <c r="B233" s="80">
        <f t="shared" si="11"/>
        <v>461.22297900000001</v>
      </c>
      <c r="C233" s="80">
        <f>Tabla1161721274183[[#This Row],[Balanza Comercial Absoluta USA
(US$ millones)]]/2</f>
        <v>230.6114895</v>
      </c>
      <c r="D233" s="5">
        <v>15517.925999999999</v>
      </c>
      <c r="E233" s="106">
        <f t="shared" si="12"/>
        <v>1.4860973657175579E-6</v>
      </c>
    </row>
    <row r="234" spans="1:5" x14ac:dyDescent="0.25">
      <c r="A234" s="31">
        <v>2012</v>
      </c>
      <c r="B234" s="80">
        <f t="shared" si="11"/>
        <v>312.25169899999997</v>
      </c>
      <c r="C234" s="80">
        <f>Tabla1161721274183[[#This Row],[Balanza Comercial Absoluta USA
(US$ millones)]]/2</f>
        <v>156.12584949999999</v>
      </c>
      <c r="D234" s="5">
        <v>16155.254999999999</v>
      </c>
      <c r="E234" s="106">
        <f t="shared" si="12"/>
        <v>9.6640906937092604E-7</v>
      </c>
    </row>
    <row r="235" spans="1:5" x14ac:dyDescent="0.25">
      <c r="A235" s="31">
        <v>2013</v>
      </c>
      <c r="B235" s="80">
        <f t="shared" si="11"/>
        <v>521.40771200000006</v>
      </c>
      <c r="C235" s="80">
        <f>Tabla1161721274183[[#This Row],[Balanza Comercial Absoluta USA
(US$ millones)]]/2</f>
        <v>260.70385600000003</v>
      </c>
      <c r="D235" s="5">
        <v>16663.16</v>
      </c>
      <c r="E235" s="106">
        <f t="shared" si="12"/>
        <v>1.564552317807667E-6</v>
      </c>
    </row>
    <row r="236" spans="1:5" x14ac:dyDescent="0.25">
      <c r="A236" s="31">
        <v>2014</v>
      </c>
      <c r="B236" s="80">
        <f t="shared" si="11"/>
        <v>1250.1815240000001</v>
      </c>
      <c r="C236" s="80">
        <f>Tabla1161721274183[[#This Row],[Balanza Comercial Absoluta USA
(US$ millones)]]/2</f>
        <v>625.09076200000004</v>
      </c>
      <c r="D236" s="5">
        <v>17348.071499999998</v>
      </c>
      <c r="E236" s="106">
        <f t="shared" si="12"/>
        <v>3.6032291082037565E-6</v>
      </c>
    </row>
    <row r="237" spans="1:5" x14ac:dyDescent="0.25">
      <c r="A237" s="31">
        <v>2015</v>
      </c>
      <c r="B237" s="80">
        <f t="shared" si="11"/>
        <v>1326.2938319999998</v>
      </c>
      <c r="C237" s="80">
        <f>Tabla1161721274183[[#This Row],[Balanza Comercial Absoluta USA
(US$ millones)]]/2</f>
        <v>663.14691599999992</v>
      </c>
      <c r="D237" s="5">
        <v>17946.995999999999</v>
      </c>
      <c r="E237" s="106">
        <f t="shared" si="12"/>
        <v>3.6950301654939911E-6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103" zoomScale="80" zoomScaleNormal="80" workbookViewId="0">
      <selection activeCell="D128" sqref="D128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30</v>
      </c>
    </row>
    <row r="4" spans="1:10" x14ac:dyDescent="0.25">
      <c r="A4" s="134" t="s">
        <v>31</v>
      </c>
      <c r="B4" s="134"/>
      <c r="C4" s="134"/>
      <c r="D4" s="134"/>
    </row>
    <row r="5" spans="1:10" ht="60" x14ac:dyDescent="0.25">
      <c r="A5" s="102" t="s">
        <v>3</v>
      </c>
      <c r="B5" s="34" t="s">
        <v>13</v>
      </c>
      <c r="C5" s="34" t="s">
        <v>68</v>
      </c>
      <c r="D5" s="34" t="s">
        <v>38</v>
      </c>
    </row>
    <row r="6" spans="1:10" x14ac:dyDescent="0.25">
      <c r="A6" s="37">
        <v>1991</v>
      </c>
      <c r="B6" s="69">
        <f>'Export 04'!B2</f>
        <v>5.6062079999999996</v>
      </c>
      <c r="C6" s="39">
        <v>34830570</v>
      </c>
      <c r="D6" s="82">
        <f t="shared" ref="D6:D30" si="0">(B6*1000000/C6)</f>
        <v>0.1609565390402741</v>
      </c>
      <c r="F6" s="7" t="s">
        <v>69</v>
      </c>
      <c r="I6" s="1" t="s">
        <v>10</v>
      </c>
      <c r="J6" s="7" t="s">
        <v>70</v>
      </c>
    </row>
    <row r="7" spans="1:10" x14ac:dyDescent="0.25">
      <c r="A7" s="38">
        <v>1992</v>
      </c>
      <c r="B7" s="69">
        <f>'Export 04'!B3</f>
        <v>6.3740959999999998</v>
      </c>
      <c r="C7" s="40">
        <v>35520940</v>
      </c>
      <c r="D7" s="82">
        <f t="shared" si="0"/>
        <v>0.17944615204439973</v>
      </c>
    </row>
    <row r="8" spans="1:10" x14ac:dyDescent="0.25">
      <c r="A8" s="37">
        <v>1993</v>
      </c>
      <c r="B8" s="69">
        <f>'Export 04'!B4</f>
        <v>4.4266730000000001</v>
      </c>
      <c r="C8" s="39">
        <v>36207108</v>
      </c>
      <c r="D8" s="82">
        <f t="shared" si="0"/>
        <v>0.12225977838384662</v>
      </c>
    </row>
    <row r="9" spans="1:10" x14ac:dyDescent="0.25">
      <c r="A9" s="38">
        <v>1994</v>
      </c>
      <c r="B9" s="69">
        <f>'Export 04'!B5</f>
        <v>6.7137019999999996</v>
      </c>
      <c r="C9" s="40">
        <v>36853905</v>
      </c>
      <c r="D9" s="82">
        <f t="shared" si="0"/>
        <v>0.18217070891130804</v>
      </c>
    </row>
    <row r="10" spans="1:10" x14ac:dyDescent="0.25">
      <c r="A10" s="37">
        <v>1995</v>
      </c>
      <c r="B10" s="69">
        <f>'Export 04'!B6</f>
        <v>5.6899280000000001</v>
      </c>
      <c r="C10" s="39">
        <v>37472184</v>
      </c>
      <c r="D10" s="82">
        <f t="shared" si="0"/>
        <v>0.15184404517228031</v>
      </c>
    </row>
    <row r="11" spans="1:10" x14ac:dyDescent="0.25">
      <c r="A11" s="38">
        <v>1996</v>
      </c>
      <c r="B11" s="69">
        <f>'Export 04'!B7</f>
        <v>3.9406219999999998</v>
      </c>
      <c r="C11" s="40">
        <v>38068050</v>
      </c>
      <c r="D11" s="82">
        <f t="shared" si="0"/>
        <v>0.10351520500787406</v>
      </c>
    </row>
    <row r="12" spans="1:10" x14ac:dyDescent="0.25">
      <c r="A12" s="37">
        <v>1997</v>
      </c>
      <c r="B12" s="69">
        <f>'Export 04'!B8</f>
        <v>3.3122159999999998</v>
      </c>
      <c r="C12" s="39">
        <v>38635691</v>
      </c>
      <c r="D12" s="82">
        <f t="shared" si="0"/>
        <v>8.5729436028463946E-2</v>
      </c>
    </row>
    <row r="13" spans="1:10" x14ac:dyDescent="0.25">
      <c r="A13" s="38">
        <v>1998</v>
      </c>
      <c r="B13" s="69">
        <f>'Export 04'!B9</f>
        <v>3.9153449999999999</v>
      </c>
      <c r="C13" s="40">
        <v>39184456</v>
      </c>
      <c r="D13" s="82">
        <f t="shared" si="0"/>
        <v>9.9920871684425067E-2</v>
      </c>
    </row>
    <row r="14" spans="1:10" x14ac:dyDescent="0.25">
      <c r="A14" s="37">
        <v>1999</v>
      </c>
      <c r="B14" s="69">
        <f>'Export 04'!B10</f>
        <v>5.3999639999999998</v>
      </c>
      <c r="C14" s="39">
        <v>39730798</v>
      </c>
      <c r="D14" s="82">
        <f t="shared" si="0"/>
        <v>0.13591380671488149</v>
      </c>
    </row>
    <row r="15" spans="1:10" x14ac:dyDescent="0.25">
      <c r="A15" s="38">
        <v>2000</v>
      </c>
      <c r="B15" s="69">
        <f>'Export 04'!B11</f>
        <v>5.3925090000000004</v>
      </c>
      <c r="C15" s="40">
        <v>40295563</v>
      </c>
      <c r="D15" s="82">
        <f t="shared" si="0"/>
        <v>0.1338238902382379</v>
      </c>
    </row>
    <row r="16" spans="1:10" x14ac:dyDescent="0.25">
      <c r="A16" s="37">
        <v>2001</v>
      </c>
      <c r="B16" s="69">
        <f>'Export 04'!B12</f>
        <v>10.118449999999999</v>
      </c>
      <c r="C16" s="39">
        <v>40813541</v>
      </c>
      <c r="D16" s="82">
        <f t="shared" si="0"/>
        <v>0.24791894435231679</v>
      </c>
    </row>
    <row r="17" spans="1:4" x14ac:dyDescent="0.25">
      <c r="A17" s="38">
        <v>2002</v>
      </c>
      <c r="B17" s="69">
        <f>'Export 04'!B13</f>
        <v>13.404857</v>
      </c>
      <c r="C17" s="40">
        <v>41328824</v>
      </c>
      <c r="D17" s="82">
        <f t="shared" si="0"/>
        <v>0.32434644160211284</v>
      </c>
    </row>
    <row r="18" spans="1:4" x14ac:dyDescent="0.25">
      <c r="A18" s="37">
        <v>2003</v>
      </c>
      <c r="B18" s="69">
        <f>'Export 04'!B14</f>
        <v>12.726922999999999</v>
      </c>
      <c r="C18" s="39">
        <v>41848959</v>
      </c>
      <c r="D18" s="82">
        <f t="shared" si="0"/>
        <v>0.30411564120388274</v>
      </c>
    </row>
    <row r="19" spans="1:4" x14ac:dyDescent="0.25">
      <c r="A19" s="38">
        <v>2004</v>
      </c>
      <c r="B19" s="69">
        <f>'Export 04'!B15</f>
        <v>14.544615</v>
      </c>
      <c r="C19" s="40">
        <v>42368489</v>
      </c>
      <c r="D19" s="82">
        <f t="shared" si="0"/>
        <v>0.34328849914850634</v>
      </c>
    </row>
    <row r="20" spans="1:4" x14ac:dyDescent="0.25">
      <c r="A20" s="37">
        <v>2005</v>
      </c>
      <c r="B20" s="69">
        <f>'Export 04'!B16</f>
        <v>18.657104</v>
      </c>
      <c r="C20" s="39">
        <v>42888592</v>
      </c>
      <c r="D20" s="82">
        <f t="shared" si="0"/>
        <v>0.43501320817433226</v>
      </c>
    </row>
    <row r="21" spans="1:4" x14ac:dyDescent="0.25">
      <c r="A21" s="38">
        <v>2006</v>
      </c>
      <c r="B21" s="69">
        <f>'Export 04'!B17</f>
        <v>22.610883000000001</v>
      </c>
      <c r="C21" s="40">
        <v>43405956</v>
      </c>
      <c r="D21" s="82">
        <f t="shared" si="0"/>
        <v>0.52091659955606096</v>
      </c>
    </row>
    <row r="22" spans="1:4" x14ac:dyDescent="0.25">
      <c r="A22" s="37">
        <v>2007</v>
      </c>
      <c r="B22" s="69">
        <f>'Export 04'!B18</f>
        <v>20.268450000000001</v>
      </c>
      <c r="C22" s="39">
        <v>43926929</v>
      </c>
      <c r="D22" s="82">
        <f t="shared" si="0"/>
        <v>0.46141286134525816</v>
      </c>
    </row>
    <row r="23" spans="1:4" x14ac:dyDescent="0.25">
      <c r="A23" s="38">
        <v>2008</v>
      </c>
      <c r="B23" s="69">
        <f>'Export 04'!B19</f>
        <v>22.317267999999999</v>
      </c>
      <c r="C23" s="40">
        <v>44451147</v>
      </c>
      <c r="D23" s="82">
        <f t="shared" si="0"/>
        <v>0.50206281516200246</v>
      </c>
    </row>
    <row r="24" spans="1:4" x14ac:dyDescent="0.25">
      <c r="A24" s="37">
        <v>2009</v>
      </c>
      <c r="B24" s="69">
        <f>'Export 04'!B20</f>
        <v>26.024861000000001</v>
      </c>
      <c r="C24" s="39">
        <v>44978832</v>
      </c>
      <c r="D24" s="82">
        <f t="shared" si="0"/>
        <v>0.57860241902235254</v>
      </c>
    </row>
    <row r="25" spans="1:4" x14ac:dyDescent="0.25">
      <c r="A25" s="38">
        <v>2010</v>
      </c>
      <c r="B25" s="69">
        <f>'Export 04'!B21</f>
        <v>24.027443999999999</v>
      </c>
      <c r="C25" s="40">
        <v>45509584</v>
      </c>
      <c r="D25" s="82">
        <f t="shared" si="0"/>
        <v>0.52796448326137191</v>
      </c>
    </row>
    <row r="26" spans="1:4" x14ac:dyDescent="0.25">
      <c r="A26" s="37">
        <v>2011</v>
      </c>
      <c r="B26" s="69">
        <f>'Export 04'!B22</f>
        <v>21.289726999999999</v>
      </c>
      <c r="C26" s="39">
        <v>46044601</v>
      </c>
      <c r="D26" s="82">
        <f t="shared" si="0"/>
        <v>0.46237184246639468</v>
      </c>
    </row>
    <row r="27" spans="1:4" x14ac:dyDescent="0.25">
      <c r="A27" s="38">
        <v>2012</v>
      </c>
      <c r="B27" s="69">
        <f>'Export 04'!B23</f>
        <v>22.689461000000001</v>
      </c>
      <c r="C27" s="40">
        <v>46581823</v>
      </c>
      <c r="D27" s="82">
        <f t="shared" si="0"/>
        <v>0.48708830051584712</v>
      </c>
    </row>
    <row r="28" spans="1:4" x14ac:dyDescent="0.25">
      <c r="A28" s="37">
        <v>2013</v>
      </c>
      <c r="B28" s="69">
        <f>'Export 04'!B24</f>
        <v>24.470265000000001</v>
      </c>
      <c r="C28" s="39">
        <v>47121089</v>
      </c>
      <c r="D28" s="82">
        <f t="shared" si="0"/>
        <v>0.51930601603880588</v>
      </c>
    </row>
    <row r="29" spans="1:4" x14ac:dyDescent="0.25">
      <c r="A29" s="38">
        <v>2014</v>
      </c>
      <c r="B29" s="69">
        <f>'Export 04'!B25</f>
        <v>31.726458000000001</v>
      </c>
      <c r="C29" s="40">
        <v>47661787</v>
      </c>
      <c r="D29" s="82">
        <f t="shared" si="0"/>
        <v>0.66565817181802267</v>
      </c>
    </row>
    <row r="30" spans="1:4" x14ac:dyDescent="0.25">
      <c r="A30" s="37">
        <v>2015</v>
      </c>
      <c r="B30" s="69">
        <f>'Export 04'!B26</f>
        <v>30.804566999999999</v>
      </c>
      <c r="C30" s="39">
        <v>48203405</v>
      </c>
      <c r="D30" s="82">
        <f t="shared" si="0"/>
        <v>0.63905375564236588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102" t="s">
        <v>3</v>
      </c>
      <c r="B35" s="34" t="s">
        <v>33</v>
      </c>
      <c r="C35" s="34" t="s">
        <v>68</v>
      </c>
      <c r="D35" s="34" t="s">
        <v>129</v>
      </c>
    </row>
    <row r="36" spans="1:10" x14ac:dyDescent="0.25">
      <c r="A36" s="37">
        <v>1991</v>
      </c>
      <c r="B36" s="69">
        <f>'Import 04'!B2</f>
        <v>57.035060000000001</v>
      </c>
      <c r="C36" s="39">
        <v>34830570</v>
      </c>
      <c r="D36" s="81">
        <f t="shared" ref="D36:D60" si="1">(B36/C36)*1000000</f>
        <v>1.637500046654419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69">
        <f>'Import 04'!B3</f>
        <v>103.679424</v>
      </c>
      <c r="C37" s="40">
        <v>35520940</v>
      </c>
      <c r="D37" s="81">
        <f t="shared" si="1"/>
        <v>2.9188254590109382</v>
      </c>
    </row>
    <row r="38" spans="1:10" x14ac:dyDescent="0.25">
      <c r="A38" s="37">
        <v>1993</v>
      </c>
      <c r="B38" s="69">
        <f>'Import 04'!B4</f>
        <v>102.42796</v>
      </c>
      <c r="C38" s="39">
        <v>36207108</v>
      </c>
      <c r="D38" s="81">
        <f t="shared" si="1"/>
        <v>2.8289461837161918</v>
      </c>
    </row>
    <row r="39" spans="1:10" x14ac:dyDescent="0.25">
      <c r="A39" s="38">
        <v>1994</v>
      </c>
      <c r="B39" s="69">
        <f>'Import 04'!B5</f>
        <v>126.299536</v>
      </c>
      <c r="C39" s="40">
        <v>36853905</v>
      </c>
      <c r="D39" s="81">
        <f t="shared" si="1"/>
        <v>3.4270326577332852</v>
      </c>
    </row>
    <row r="40" spans="1:10" x14ac:dyDescent="0.25">
      <c r="A40" s="37">
        <v>1995</v>
      </c>
      <c r="B40" s="69">
        <f>'Import 04'!B6</f>
        <v>261.17918400000002</v>
      </c>
      <c r="C40" s="39">
        <v>37472184</v>
      </c>
      <c r="D40" s="81">
        <f t="shared" si="1"/>
        <v>6.9699482688278858</v>
      </c>
    </row>
    <row r="41" spans="1:10" x14ac:dyDescent="0.25">
      <c r="A41" s="38">
        <v>1996</v>
      </c>
      <c r="B41" s="69">
        <f>'Import 04'!B7</f>
        <v>384.86940800000002</v>
      </c>
      <c r="C41" s="40">
        <v>38068050</v>
      </c>
      <c r="D41" s="81">
        <f t="shared" si="1"/>
        <v>10.11003736729357</v>
      </c>
    </row>
    <row r="42" spans="1:10" x14ac:dyDescent="0.25">
      <c r="A42" s="37">
        <v>1997</v>
      </c>
      <c r="B42" s="69">
        <f>'Import 04'!B8</f>
        <v>281.78393599999998</v>
      </c>
      <c r="C42" s="39">
        <v>38635691</v>
      </c>
      <c r="D42" s="81">
        <f t="shared" si="1"/>
        <v>7.2933582577829386</v>
      </c>
    </row>
    <row r="43" spans="1:10" x14ac:dyDescent="0.25">
      <c r="A43" s="38">
        <v>1998</v>
      </c>
      <c r="B43" s="69">
        <f>'Import 04'!B9</f>
        <v>332.07152000000002</v>
      </c>
      <c r="C43" s="40">
        <v>39184456</v>
      </c>
      <c r="D43" s="81">
        <f t="shared" si="1"/>
        <v>8.4745726723882555</v>
      </c>
    </row>
    <row r="44" spans="1:10" x14ac:dyDescent="0.25">
      <c r="A44" s="37">
        <v>1999</v>
      </c>
      <c r="B44" s="69">
        <f>'Import 04'!B10</f>
        <v>286.18310400000001</v>
      </c>
      <c r="C44" s="39">
        <v>39730798</v>
      </c>
      <c r="D44" s="81">
        <f t="shared" si="1"/>
        <v>7.2030545170524896</v>
      </c>
    </row>
    <row r="45" spans="1:10" x14ac:dyDescent="0.25">
      <c r="A45" s="38">
        <v>2000</v>
      </c>
      <c r="B45" s="69">
        <f>'Import 04'!B11</f>
        <v>282.12097499999999</v>
      </c>
      <c r="C45" s="40">
        <v>40295563</v>
      </c>
      <c r="D45" s="81">
        <f t="shared" si="1"/>
        <v>7.0012913084251975</v>
      </c>
    </row>
    <row r="46" spans="1:10" x14ac:dyDescent="0.25">
      <c r="A46" s="37">
        <v>2001</v>
      </c>
      <c r="B46" s="69">
        <f>'Import 04'!B12</f>
        <v>278.40797600000002</v>
      </c>
      <c r="C46" s="39">
        <v>40813541</v>
      </c>
      <c r="D46" s="81">
        <f t="shared" si="1"/>
        <v>6.8214609460129916</v>
      </c>
    </row>
    <row r="47" spans="1:10" x14ac:dyDescent="0.25">
      <c r="A47" s="38">
        <v>2002</v>
      </c>
      <c r="B47" s="69">
        <f>'Import 04'!B13</f>
        <v>338.36403799999999</v>
      </c>
      <c r="C47" s="40">
        <v>41328824</v>
      </c>
      <c r="D47" s="81">
        <f t="shared" si="1"/>
        <v>8.187119914179025</v>
      </c>
    </row>
    <row r="48" spans="1:10" x14ac:dyDescent="0.25">
      <c r="A48" s="37">
        <v>2003</v>
      </c>
      <c r="B48" s="69">
        <f>'Import 04'!B14</f>
        <v>325.82918899999999</v>
      </c>
      <c r="C48" s="39">
        <v>41848959</v>
      </c>
      <c r="D48" s="81">
        <f t="shared" si="1"/>
        <v>7.785837372920076</v>
      </c>
    </row>
    <row r="49" spans="1:4" x14ac:dyDescent="0.25">
      <c r="A49" s="38">
        <v>2004</v>
      </c>
      <c r="B49" s="69">
        <f>'Import 04'!B15</f>
        <v>433.137812</v>
      </c>
      <c r="C49" s="40">
        <v>42368489</v>
      </c>
      <c r="D49" s="81">
        <f t="shared" si="1"/>
        <v>10.223112086909683</v>
      </c>
    </row>
    <row r="50" spans="1:4" x14ac:dyDescent="0.25">
      <c r="A50" s="37">
        <v>2005</v>
      </c>
      <c r="B50" s="69">
        <f>'Import 04'!B16</f>
        <v>436.91641600000003</v>
      </c>
      <c r="C50" s="39">
        <v>42888592</v>
      </c>
      <c r="D50" s="81">
        <f t="shared" si="1"/>
        <v>10.187240840174935</v>
      </c>
    </row>
    <row r="51" spans="1:4" x14ac:dyDescent="0.25">
      <c r="A51" s="38">
        <v>2006</v>
      </c>
      <c r="B51" s="69">
        <f>'Import 04'!B17</f>
        <v>512.90662499999996</v>
      </c>
      <c r="C51" s="40">
        <v>43405956</v>
      </c>
      <c r="D51" s="81">
        <f t="shared" si="1"/>
        <v>11.816503361888861</v>
      </c>
    </row>
    <row r="52" spans="1:4" x14ac:dyDescent="0.25">
      <c r="A52" s="37">
        <v>2007</v>
      </c>
      <c r="B52" s="69">
        <f>'Import 04'!B18</f>
        <v>868.24385199999995</v>
      </c>
      <c r="C52" s="39">
        <v>43926929</v>
      </c>
      <c r="D52" s="81">
        <f t="shared" si="1"/>
        <v>19.765639705885199</v>
      </c>
    </row>
    <row r="53" spans="1:4" x14ac:dyDescent="0.25">
      <c r="A53" s="38">
        <v>2008</v>
      </c>
      <c r="B53" s="69">
        <f>'Import 04'!B19</f>
        <v>1146.2366030000001</v>
      </c>
      <c r="C53" s="40">
        <v>44451147</v>
      </c>
      <c r="D53" s="81">
        <f t="shared" si="1"/>
        <v>25.786434779736958</v>
      </c>
    </row>
    <row r="54" spans="1:4" x14ac:dyDescent="0.25">
      <c r="A54" s="37">
        <v>2009</v>
      </c>
      <c r="B54" s="69">
        <f>'Import 04'!B20</f>
        <v>443.46851299999997</v>
      </c>
      <c r="C54" s="39">
        <v>44978832</v>
      </c>
      <c r="D54" s="81">
        <f t="shared" si="1"/>
        <v>9.859493750304587</v>
      </c>
    </row>
    <row r="55" spans="1:4" x14ac:dyDescent="0.25">
      <c r="A55" s="38">
        <v>2010</v>
      </c>
      <c r="B55" s="69">
        <f>'Import 04'!B21</f>
        <v>324.97551399999998</v>
      </c>
      <c r="C55" s="40">
        <v>45509584</v>
      </c>
      <c r="D55" s="81">
        <f t="shared" si="1"/>
        <v>7.1408148666004063</v>
      </c>
    </row>
    <row r="56" spans="1:4" x14ac:dyDescent="0.25">
      <c r="A56" s="37">
        <v>2011</v>
      </c>
      <c r="B56" s="69">
        <f>'Import 04'!B22</f>
        <v>439.93325199999998</v>
      </c>
      <c r="C56" s="39">
        <v>46044601</v>
      </c>
      <c r="D56" s="81">
        <f t="shared" si="1"/>
        <v>9.5545024268969119</v>
      </c>
    </row>
    <row r="57" spans="1:4" x14ac:dyDescent="0.25">
      <c r="A57" s="38">
        <v>2012</v>
      </c>
      <c r="B57" s="69">
        <f>'Import 04'!B23</f>
        <v>289.56223799999998</v>
      </c>
      <c r="C57" s="40">
        <v>46581823</v>
      </c>
      <c r="D57" s="81">
        <f t="shared" si="1"/>
        <v>6.2162066521097721</v>
      </c>
    </row>
    <row r="58" spans="1:4" x14ac:dyDescent="0.25">
      <c r="A58" s="37">
        <v>2013</v>
      </c>
      <c r="B58" s="69">
        <f>'Import 04'!B24</f>
        <v>496.93744700000002</v>
      </c>
      <c r="C58" s="39">
        <v>47121089</v>
      </c>
      <c r="D58" s="81">
        <f t="shared" si="1"/>
        <v>10.545966944864116</v>
      </c>
    </row>
    <row r="59" spans="1:4" x14ac:dyDescent="0.25">
      <c r="A59" s="38">
        <v>2014</v>
      </c>
      <c r="B59" s="69">
        <f>'Import 04'!B25</f>
        <v>1218.455066</v>
      </c>
      <c r="C59" s="40">
        <v>47661787</v>
      </c>
      <c r="D59" s="81">
        <f t="shared" si="1"/>
        <v>25.564611456972859</v>
      </c>
    </row>
    <row r="60" spans="1:4" x14ac:dyDescent="0.25">
      <c r="A60" s="37">
        <v>2015</v>
      </c>
      <c r="B60" s="69">
        <f>'Import 04'!B26</f>
        <v>1295.4892649999999</v>
      </c>
      <c r="C60" s="39">
        <v>48203405</v>
      </c>
      <c r="D60" s="81">
        <f t="shared" si="1"/>
        <v>26.875472075053619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102" t="s">
        <v>3</v>
      </c>
      <c r="B64" s="34" t="s">
        <v>65</v>
      </c>
      <c r="C64" s="34" t="s">
        <v>68</v>
      </c>
      <c r="D64" s="34" t="s">
        <v>132</v>
      </c>
    </row>
    <row r="65" spans="1:10" x14ac:dyDescent="0.25">
      <c r="A65" s="37">
        <v>1991</v>
      </c>
      <c r="B65" s="69">
        <f>'Apertura 04'!B213</f>
        <v>62.641268000000004</v>
      </c>
      <c r="C65" s="39">
        <v>34830570</v>
      </c>
      <c r="D65" s="35">
        <f t="shared" ref="D65:D89" si="2">(B65/C65)*1000000</f>
        <v>1.798456585694693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69">
        <f>'Apertura 04'!B214</f>
        <v>110.05351999999999</v>
      </c>
      <c r="C66" s="40">
        <v>35520940</v>
      </c>
      <c r="D66" s="35">
        <f t="shared" si="2"/>
        <v>3.0982716110553379</v>
      </c>
    </row>
    <row r="67" spans="1:10" x14ac:dyDescent="0.25">
      <c r="A67" s="37">
        <v>1993</v>
      </c>
      <c r="B67" s="69">
        <f>'Apertura 04'!B215</f>
        <v>106.85463299999999</v>
      </c>
      <c r="C67" s="39">
        <v>36207108</v>
      </c>
      <c r="D67" s="35">
        <f t="shared" si="2"/>
        <v>2.9512059621000386</v>
      </c>
    </row>
    <row r="68" spans="1:10" x14ac:dyDescent="0.25">
      <c r="A68" s="38">
        <v>1994</v>
      </c>
      <c r="B68" s="69">
        <f>'Apertura 04'!B216</f>
        <v>133.013238</v>
      </c>
      <c r="C68" s="40">
        <v>36853905</v>
      </c>
      <c r="D68" s="35">
        <f t="shared" si="2"/>
        <v>3.6092033666445933</v>
      </c>
    </row>
    <row r="69" spans="1:10" x14ac:dyDescent="0.25">
      <c r="A69" s="37">
        <v>1995</v>
      </c>
      <c r="B69" s="69">
        <f>'Apertura 04'!B217</f>
        <v>266.86911200000003</v>
      </c>
      <c r="C69" s="39">
        <v>37472184</v>
      </c>
      <c r="D69" s="35">
        <f t="shared" si="2"/>
        <v>7.1217923140001664</v>
      </c>
    </row>
    <row r="70" spans="1:10" x14ac:dyDescent="0.25">
      <c r="A70" s="38">
        <v>1996</v>
      </c>
      <c r="B70" s="69">
        <f>'Apertura 04'!B218</f>
        <v>388.81003000000004</v>
      </c>
      <c r="C70" s="40">
        <v>38068050</v>
      </c>
      <c r="D70" s="35">
        <f t="shared" si="2"/>
        <v>10.213552572301445</v>
      </c>
    </row>
    <row r="71" spans="1:10" x14ac:dyDescent="0.25">
      <c r="A71" s="37">
        <v>1997</v>
      </c>
      <c r="B71" s="69">
        <f>'Apertura 04'!B219</f>
        <v>285.09615199999996</v>
      </c>
      <c r="C71" s="39">
        <v>38635691</v>
      </c>
      <c r="D71" s="35">
        <f t="shared" si="2"/>
        <v>7.3790876938114032</v>
      </c>
    </row>
    <row r="72" spans="1:10" x14ac:dyDescent="0.25">
      <c r="A72" s="38">
        <v>1998</v>
      </c>
      <c r="B72" s="69">
        <f>'Apertura 04'!B220</f>
        <v>335.98686500000002</v>
      </c>
      <c r="C72" s="40">
        <v>39184456</v>
      </c>
      <c r="D72" s="35">
        <f t="shared" si="2"/>
        <v>8.5744935440726806</v>
      </c>
    </row>
    <row r="73" spans="1:10" x14ac:dyDescent="0.25">
      <c r="A73" s="37">
        <v>1999</v>
      </c>
      <c r="B73" s="69">
        <f>'Apertura 04'!B221</f>
        <v>291.58306800000003</v>
      </c>
      <c r="C73" s="39">
        <v>39730798</v>
      </c>
      <c r="D73" s="35">
        <f t="shared" si="2"/>
        <v>7.3389683237673715</v>
      </c>
    </row>
    <row r="74" spans="1:10" x14ac:dyDescent="0.25">
      <c r="A74" s="38">
        <v>2000</v>
      </c>
      <c r="B74" s="69">
        <f>'Apertura 04'!B222</f>
        <v>287.51348400000001</v>
      </c>
      <c r="C74" s="40">
        <v>40295563</v>
      </c>
      <c r="D74" s="35">
        <f t="shared" si="2"/>
        <v>7.1351151986634358</v>
      </c>
    </row>
    <row r="75" spans="1:10" x14ac:dyDescent="0.25">
      <c r="A75" s="37">
        <v>2001</v>
      </c>
      <c r="B75" s="69">
        <f>'Apertura 04'!B223</f>
        <v>288.52642600000001</v>
      </c>
      <c r="C75" s="39">
        <v>40813541</v>
      </c>
      <c r="D75" s="35">
        <f t="shared" si="2"/>
        <v>7.0693798903653082</v>
      </c>
    </row>
    <row r="76" spans="1:10" x14ac:dyDescent="0.25">
      <c r="A76" s="38">
        <v>2002</v>
      </c>
      <c r="B76" s="69">
        <f>'Apertura 04'!B224</f>
        <v>351.76889499999999</v>
      </c>
      <c r="C76" s="40">
        <v>41328824</v>
      </c>
      <c r="D76" s="35">
        <f t="shared" si="2"/>
        <v>8.5114663557811365</v>
      </c>
    </row>
    <row r="77" spans="1:10" x14ac:dyDescent="0.25">
      <c r="A77" s="37">
        <v>2003</v>
      </c>
      <c r="B77" s="69">
        <f>'Apertura 04'!B225</f>
        <v>338.55611199999998</v>
      </c>
      <c r="C77" s="39">
        <v>41848959</v>
      </c>
      <c r="D77" s="35">
        <f t="shared" si="2"/>
        <v>8.0899530141239602</v>
      </c>
    </row>
    <row r="78" spans="1:10" x14ac:dyDescent="0.25">
      <c r="A78" s="38">
        <v>2004</v>
      </c>
      <c r="B78" s="69">
        <f>'Apertura 04'!B226</f>
        <v>447.68242700000002</v>
      </c>
      <c r="C78" s="40">
        <v>42368489</v>
      </c>
      <c r="D78" s="35">
        <f t="shared" si="2"/>
        <v>10.56640058605819</v>
      </c>
    </row>
    <row r="79" spans="1:10" x14ac:dyDescent="0.25">
      <c r="A79" s="37">
        <v>2005</v>
      </c>
      <c r="B79" s="69">
        <f>'Apertura 04'!B227</f>
        <v>455.57352000000003</v>
      </c>
      <c r="C79" s="39">
        <v>42888592</v>
      </c>
      <c r="D79" s="35">
        <f t="shared" si="2"/>
        <v>10.622254048349268</v>
      </c>
    </row>
    <row r="80" spans="1:10" x14ac:dyDescent="0.25">
      <c r="A80" s="38">
        <v>2006</v>
      </c>
      <c r="B80" s="69">
        <f>'Apertura 04'!B228</f>
        <v>535.51750799999991</v>
      </c>
      <c r="C80" s="40">
        <v>43405956</v>
      </c>
      <c r="D80" s="35">
        <f t="shared" si="2"/>
        <v>12.337419961444921</v>
      </c>
    </row>
    <row r="81" spans="1:4" x14ac:dyDescent="0.25">
      <c r="A81" s="37">
        <v>2007</v>
      </c>
      <c r="B81" s="69">
        <f>'Apertura 04'!B229</f>
        <v>888.51230199999998</v>
      </c>
      <c r="C81" s="39">
        <v>43926929</v>
      </c>
      <c r="D81" s="35">
        <f t="shared" si="2"/>
        <v>20.227052567230455</v>
      </c>
    </row>
    <row r="82" spans="1:4" x14ac:dyDescent="0.25">
      <c r="A82" s="38">
        <v>2008</v>
      </c>
      <c r="B82" s="69">
        <f>'Apertura 04'!B230</f>
        <v>1168.5538710000001</v>
      </c>
      <c r="C82" s="40">
        <v>44451147</v>
      </c>
      <c r="D82" s="35">
        <f t="shared" si="2"/>
        <v>26.28849759489896</v>
      </c>
    </row>
    <row r="83" spans="1:4" x14ac:dyDescent="0.25">
      <c r="A83" s="37">
        <v>2009</v>
      </c>
      <c r="B83" s="69">
        <f>'Apertura 04'!B231</f>
        <v>469.49337399999996</v>
      </c>
      <c r="C83" s="39">
        <v>44978832</v>
      </c>
      <c r="D83" s="35">
        <f t="shared" si="2"/>
        <v>10.43809616932694</v>
      </c>
    </row>
    <row r="84" spans="1:4" x14ac:dyDescent="0.25">
      <c r="A84" s="38">
        <v>2010</v>
      </c>
      <c r="B84" s="69">
        <f>'Apertura 04'!B232</f>
        <v>349.00295799999998</v>
      </c>
      <c r="C84" s="40">
        <v>45509584</v>
      </c>
      <c r="D84" s="35">
        <f t="shared" si="2"/>
        <v>7.6687793498617776</v>
      </c>
    </row>
    <row r="85" spans="1:4" x14ac:dyDescent="0.25">
      <c r="A85" s="37">
        <v>2011</v>
      </c>
      <c r="B85" s="69">
        <f>'Apertura 04'!B233</f>
        <v>461.22297900000001</v>
      </c>
      <c r="C85" s="39">
        <v>46044601</v>
      </c>
      <c r="D85" s="35">
        <f t="shared" si="2"/>
        <v>10.016874269363306</v>
      </c>
    </row>
    <row r="86" spans="1:4" x14ac:dyDescent="0.25">
      <c r="A86" s="38">
        <v>2012</v>
      </c>
      <c r="B86" s="69">
        <f>'Apertura 04'!B234</f>
        <v>312.25169899999997</v>
      </c>
      <c r="C86" s="40">
        <v>46581823</v>
      </c>
      <c r="D86" s="35">
        <f t="shared" si="2"/>
        <v>6.7032949526256189</v>
      </c>
    </row>
    <row r="87" spans="1:4" x14ac:dyDescent="0.25">
      <c r="A87" s="37">
        <v>2013</v>
      </c>
      <c r="B87" s="69">
        <f>'Apertura 04'!B235</f>
        <v>521.40771200000006</v>
      </c>
      <c r="C87" s="39">
        <v>47121089</v>
      </c>
      <c r="D87" s="35">
        <f t="shared" si="2"/>
        <v>11.06527296090292</v>
      </c>
    </row>
    <row r="88" spans="1:4" x14ac:dyDescent="0.25">
      <c r="A88" s="38">
        <v>2014</v>
      </c>
      <c r="B88" s="69">
        <f>'Apertura 04'!B236</f>
        <v>1250.1815240000001</v>
      </c>
      <c r="C88" s="40">
        <v>47661787</v>
      </c>
      <c r="D88" s="35">
        <f t="shared" si="2"/>
        <v>26.230269628790879</v>
      </c>
    </row>
    <row r="89" spans="1:4" x14ac:dyDescent="0.25">
      <c r="A89" s="37">
        <v>2015</v>
      </c>
      <c r="B89" s="69">
        <f>'Apertura 04'!B237</f>
        <v>1326.2938319999998</v>
      </c>
      <c r="C89" s="39">
        <v>48203405</v>
      </c>
      <c r="D89" s="35">
        <f t="shared" si="2"/>
        <v>27.514525830695984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102" t="s">
        <v>3</v>
      </c>
      <c r="B96" s="34" t="s">
        <v>8</v>
      </c>
      <c r="C96" s="34" t="s">
        <v>35</v>
      </c>
      <c r="D96" s="34" t="s">
        <v>38</v>
      </c>
    </row>
    <row r="97" spans="1:11" x14ac:dyDescent="0.25">
      <c r="A97" s="37">
        <v>1991</v>
      </c>
      <c r="B97" s="69">
        <f t="shared" ref="B97:B121" si="3">B36</f>
        <v>57.035060000000001</v>
      </c>
      <c r="C97" s="39">
        <v>253620000</v>
      </c>
      <c r="D97" s="35">
        <f t="shared" ref="D97:D121" si="4">(B97/C97)*1000000</f>
        <v>0.22488392082643327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69">
        <f t="shared" si="3"/>
        <v>103.679424</v>
      </c>
      <c r="C98" s="40">
        <v>256516000</v>
      </c>
      <c r="D98" s="35">
        <f t="shared" si="4"/>
        <v>0.40418306850254954</v>
      </c>
    </row>
    <row r="99" spans="1:11" x14ac:dyDescent="0.25">
      <c r="A99" s="37">
        <v>1993</v>
      </c>
      <c r="B99" s="69">
        <f t="shared" si="3"/>
        <v>102.42796</v>
      </c>
      <c r="C99" s="39">
        <v>259131000</v>
      </c>
      <c r="D99" s="35">
        <f t="shared" si="4"/>
        <v>0.39527482238713235</v>
      </c>
    </row>
    <row r="100" spans="1:11" x14ac:dyDescent="0.25">
      <c r="A100" s="38">
        <v>1994</v>
      </c>
      <c r="B100" s="69">
        <f t="shared" si="3"/>
        <v>126.299536</v>
      </c>
      <c r="C100" s="40">
        <v>264061000</v>
      </c>
      <c r="D100" s="35">
        <f t="shared" si="4"/>
        <v>0.47829681778074007</v>
      </c>
    </row>
    <row r="101" spans="1:11" x14ac:dyDescent="0.25">
      <c r="A101" s="37">
        <v>1995</v>
      </c>
      <c r="B101" s="69">
        <f t="shared" si="3"/>
        <v>261.17918400000002</v>
      </c>
      <c r="C101" s="39">
        <v>266398000</v>
      </c>
      <c r="D101" s="35">
        <f t="shared" si="4"/>
        <v>0.98040970277554629</v>
      </c>
    </row>
    <row r="102" spans="1:11" x14ac:dyDescent="0.25">
      <c r="A102" s="38">
        <v>1996</v>
      </c>
      <c r="B102" s="69">
        <f t="shared" si="3"/>
        <v>384.86940800000002</v>
      </c>
      <c r="C102" s="40">
        <v>268930000</v>
      </c>
      <c r="D102" s="35">
        <f t="shared" si="4"/>
        <v>1.4311137024504519</v>
      </c>
    </row>
    <row r="103" spans="1:11" x14ac:dyDescent="0.25">
      <c r="A103" s="37">
        <v>1997</v>
      </c>
      <c r="B103" s="69">
        <f t="shared" si="3"/>
        <v>281.78393599999998</v>
      </c>
      <c r="C103" s="39">
        <v>271387000</v>
      </c>
      <c r="D103" s="35">
        <f t="shared" si="4"/>
        <v>1.0383103685880311</v>
      </c>
    </row>
    <row r="104" spans="1:11" x14ac:dyDescent="0.25">
      <c r="A104" s="38">
        <v>1998</v>
      </c>
      <c r="B104" s="69">
        <f t="shared" si="3"/>
        <v>332.07152000000002</v>
      </c>
      <c r="C104" s="40">
        <v>271584000</v>
      </c>
      <c r="D104" s="35">
        <f t="shared" si="4"/>
        <v>1.2227212206904678</v>
      </c>
    </row>
    <row r="105" spans="1:11" x14ac:dyDescent="0.25">
      <c r="A105" s="37">
        <v>1999</v>
      </c>
      <c r="B105" s="69">
        <f t="shared" si="3"/>
        <v>286.18310400000001</v>
      </c>
      <c r="C105" s="39">
        <v>274024000</v>
      </c>
      <c r="D105" s="35">
        <f t="shared" si="4"/>
        <v>1.0443724053367589</v>
      </c>
    </row>
    <row r="106" spans="1:11" x14ac:dyDescent="0.25">
      <c r="A106" s="38">
        <v>2000</v>
      </c>
      <c r="B106" s="69">
        <f t="shared" si="3"/>
        <v>282.12097499999999</v>
      </c>
      <c r="C106" s="40">
        <v>284968955</v>
      </c>
      <c r="D106" s="35">
        <f t="shared" si="4"/>
        <v>0.9900059990745308</v>
      </c>
    </row>
    <row r="107" spans="1:11" x14ac:dyDescent="0.25">
      <c r="A107" s="37">
        <v>2001</v>
      </c>
      <c r="B107" s="69">
        <f t="shared" si="3"/>
        <v>278.40797600000002</v>
      </c>
      <c r="C107" s="39">
        <v>287625193</v>
      </c>
      <c r="D107" s="35">
        <f t="shared" si="4"/>
        <v>0.96795406930852546</v>
      </c>
    </row>
    <row r="108" spans="1:11" x14ac:dyDescent="0.25">
      <c r="A108" s="38">
        <v>2002</v>
      </c>
      <c r="B108" s="69">
        <f t="shared" si="3"/>
        <v>338.36403799999999</v>
      </c>
      <c r="C108" s="40">
        <v>290107933</v>
      </c>
      <c r="D108" s="35">
        <f t="shared" si="4"/>
        <v>1.1663384537643788</v>
      </c>
    </row>
    <row r="109" spans="1:11" x14ac:dyDescent="0.25">
      <c r="A109" s="37">
        <v>2003</v>
      </c>
      <c r="B109" s="69">
        <f t="shared" si="3"/>
        <v>325.82918899999999</v>
      </c>
      <c r="C109" s="39">
        <v>292805298</v>
      </c>
      <c r="D109" s="35">
        <f t="shared" si="4"/>
        <v>1.1127844722263187</v>
      </c>
    </row>
    <row r="110" spans="1:11" x14ac:dyDescent="0.25">
      <c r="A110" s="38">
        <v>2004</v>
      </c>
      <c r="B110" s="69">
        <f t="shared" si="3"/>
        <v>433.137812</v>
      </c>
      <c r="C110" s="40">
        <v>295516599</v>
      </c>
      <c r="D110" s="35">
        <f t="shared" si="4"/>
        <v>1.4656970656325128</v>
      </c>
    </row>
    <row r="111" spans="1:11" x14ac:dyDescent="0.25">
      <c r="A111" s="37">
        <v>2005</v>
      </c>
      <c r="B111" s="69">
        <f t="shared" si="3"/>
        <v>436.91641600000003</v>
      </c>
      <c r="C111" s="39">
        <v>298379912</v>
      </c>
      <c r="D111" s="35">
        <f t="shared" si="4"/>
        <v>1.4642956795295257</v>
      </c>
    </row>
    <row r="112" spans="1:11" x14ac:dyDescent="0.25">
      <c r="A112" s="38">
        <v>2006</v>
      </c>
      <c r="B112" s="69">
        <f t="shared" si="3"/>
        <v>512.90662499999996</v>
      </c>
      <c r="C112" s="40">
        <v>301231207</v>
      </c>
      <c r="D112" s="35">
        <f t="shared" si="4"/>
        <v>1.7027008260800813</v>
      </c>
    </row>
    <row r="113" spans="1:11" x14ac:dyDescent="0.25">
      <c r="A113" s="37">
        <v>2007</v>
      </c>
      <c r="B113" s="69">
        <f t="shared" si="3"/>
        <v>868.24385199999995</v>
      </c>
      <c r="C113" s="39">
        <v>304093966</v>
      </c>
      <c r="D113" s="35">
        <f t="shared" si="4"/>
        <v>2.8551827693943785</v>
      </c>
    </row>
    <row r="114" spans="1:11" x14ac:dyDescent="0.25">
      <c r="A114" s="38">
        <v>2008</v>
      </c>
      <c r="B114" s="69">
        <f t="shared" si="3"/>
        <v>1146.2366030000001</v>
      </c>
      <c r="C114" s="40">
        <v>306771529</v>
      </c>
      <c r="D114" s="35">
        <f t="shared" si="4"/>
        <v>3.7364504024752576</v>
      </c>
    </row>
    <row r="115" spans="1:11" x14ac:dyDescent="0.25">
      <c r="A115" s="37">
        <v>2009</v>
      </c>
      <c r="B115" s="69">
        <f t="shared" si="3"/>
        <v>443.46851299999997</v>
      </c>
      <c r="C115" s="39">
        <v>308745538</v>
      </c>
      <c r="D115" s="35">
        <f t="shared" si="4"/>
        <v>1.4363560227386993</v>
      </c>
    </row>
    <row r="116" spans="1:11" x14ac:dyDescent="0.25">
      <c r="A116" s="38">
        <v>2010</v>
      </c>
      <c r="B116" s="69">
        <f t="shared" si="3"/>
        <v>324.97551399999998</v>
      </c>
      <c r="C116" s="40">
        <v>309347057</v>
      </c>
      <c r="D116" s="35">
        <f t="shared" si="4"/>
        <v>1.0505207877248366</v>
      </c>
    </row>
    <row r="117" spans="1:11" x14ac:dyDescent="0.25">
      <c r="A117" s="37">
        <v>2011</v>
      </c>
      <c r="B117" s="69">
        <f t="shared" si="3"/>
        <v>439.93325199999998</v>
      </c>
      <c r="C117" s="39">
        <v>311721632</v>
      </c>
      <c r="D117" s="35">
        <f t="shared" si="4"/>
        <v>1.4113016449240197</v>
      </c>
    </row>
    <row r="118" spans="1:11" x14ac:dyDescent="0.25">
      <c r="A118" s="38">
        <v>2012</v>
      </c>
      <c r="B118" s="69">
        <f t="shared" si="3"/>
        <v>289.56223799999998</v>
      </c>
      <c r="C118" s="40">
        <v>314112078</v>
      </c>
      <c r="D118" s="35">
        <f t="shared" si="4"/>
        <v>0.92184369300183355</v>
      </c>
    </row>
    <row r="119" spans="1:11" x14ac:dyDescent="0.25">
      <c r="A119" s="37">
        <v>2013</v>
      </c>
      <c r="B119" s="69">
        <f t="shared" si="3"/>
        <v>496.93744700000002</v>
      </c>
      <c r="C119" s="39">
        <v>316497531</v>
      </c>
      <c r="D119" s="35">
        <f t="shared" si="4"/>
        <v>1.5701147665508963</v>
      </c>
    </row>
    <row r="120" spans="1:11" x14ac:dyDescent="0.25">
      <c r="A120" s="38">
        <v>2014</v>
      </c>
      <c r="B120" s="69">
        <f t="shared" si="3"/>
        <v>1218.455066</v>
      </c>
      <c r="C120" s="40">
        <v>318857056</v>
      </c>
      <c r="D120" s="35">
        <f t="shared" si="4"/>
        <v>3.8213206923669274</v>
      </c>
    </row>
    <row r="121" spans="1:11" x14ac:dyDescent="0.25">
      <c r="A121" s="37">
        <v>2015</v>
      </c>
      <c r="B121" s="69">
        <f t="shared" si="3"/>
        <v>1295.4892649999999</v>
      </c>
      <c r="C121" s="39">
        <v>321418820</v>
      </c>
      <c r="D121" s="35">
        <f t="shared" si="4"/>
        <v>4.0305333240909791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</row>
    <row r="126" spans="1:11" ht="60" x14ac:dyDescent="0.25">
      <c r="A126" s="102" t="s">
        <v>3</v>
      </c>
      <c r="B126" s="34" t="s">
        <v>16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>
        <f t="shared" ref="B127:B151" si="5">B6</f>
        <v>5.6062079999999996</v>
      </c>
      <c r="C127" s="39">
        <v>253620000</v>
      </c>
      <c r="D127" s="81">
        <f t="shared" ref="D127:D151" si="6">(B127*1000000/C127)</f>
        <v>2.2104755145493257E-2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69">
        <f t="shared" si="5"/>
        <v>6.3740959999999998</v>
      </c>
      <c r="C128" s="40">
        <v>256516000</v>
      </c>
      <c r="D128" s="81">
        <f t="shared" si="6"/>
        <v>2.4848726785073834E-2</v>
      </c>
    </row>
    <row r="129" spans="1:4" x14ac:dyDescent="0.25">
      <c r="A129" s="37">
        <v>1993</v>
      </c>
      <c r="B129" s="69">
        <f t="shared" si="5"/>
        <v>4.4266730000000001</v>
      </c>
      <c r="C129" s="39">
        <v>259131000</v>
      </c>
      <c r="D129" s="81">
        <f t="shared" si="6"/>
        <v>1.7082761228876513E-2</v>
      </c>
    </row>
    <row r="130" spans="1:4" x14ac:dyDescent="0.25">
      <c r="A130" s="38">
        <v>1994</v>
      </c>
      <c r="B130" s="69">
        <f t="shared" si="5"/>
        <v>6.7137019999999996</v>
      </c>
      <c r="C130" s="40">
        <v>264061000</v>
      </c>
      <c r="D130" s="81">
        <f t="shared" si="6"/>
        <v>2.5424814720841019E-2</v>
      </c>
    </row>
    <row r="131" spans="1:4" x14ac:dyDescent="0.25">
      <c r="A131" s="37">
        <v>1995</v>
      </c>
      <c r="B131" s="69">
        <f t="shared" si="5"/>
        <v>5.6899280000000001</v>
      </c>
      <c r="C131" s="39">
        <v>266398000</v>
      </c>
      <c r="D131" s="81">
        <f t="shared" si="6"/>
        <v>2.1358748939556603E-2</v>
      </c>
    </row>
    <row r="132" spans="1:4" x14ac:dyDescent="0.25">
      <c r="A132" s="38">
        <v>1996</v>
      </c>
      <c r="B132" s="69">
        <f t="shared" si="5"/>
        <v>3.9406219999999998</v>
      </c>
      <c r="C132" s="40">
        <v>268930000</v>
      </c>
      <c r="D132" s="81">
        <f t="shared" si="6"/>
        <v>1.465296545569479E-2</v>
      </c>
    </row>
    <row r="133" spans="1:4" x14ac:dyDescent="0.25">
      <c r="A133" s="37">
        <v>1997</v>
      </c>
      <c r="B133" s="69">
        <f t="shared" si="5"/>
        <v>3.3122159999999998</v>
      </c>
      <c r="C133" s="39">
        <v>271387000</v>
      </c>
      <c r="D133" s="81">
        <f t="shared" si="6"/>
        <v>1.2204770309557937E-2</v>
      </c>
    </row>
    <row r="134" spans="1:4" x14ac:dyDescent="0.25">
      <c r="A134" s="38">
        <v>1998</v>
      </c>
      <c r="B134" s="69">
        <f t="shared" si="5"/>
        <v>3.9153449999999999</v>
      </c>
      <c r="C134" s="40">
        <v>271584000</v>
      </c>
      <c r="D134" s="81">
        <f t="shared" si="6"/>
        <v>1.4416699805585012E-2</v>
      </c>
    </row>
    <row r="135" spans="1:4" x14ac:dyDescent="0.25">
      <c r="A135" s="37">
        <v>1999</v>
      </c>
      <c r="B135" s="69">
        <f t="shared" si="5"/>
        <v>5.3999639999999998</v>
      </c>
      <c r="C135" s="39">
        <v>274024000</v>
      </c>
      <c r="D135" s="81">
        <f t="shared" si="6"/>
        <v>1.9706171722184918E-2</v>
      </c>
    </row>
    <row r="136" spans="1:4" x14ac:dyDescent="0.25">
      <c r="A136" s="38">
        <v>2000</v>
      </c>
      <c r="B136" s="69">
        <f t="shared" si="5"/>
        <v>5.3925090000000004</v>
      </c>
      <c r="C136" s="40">
        <v>284968955</v>
      </c>
      <c r="D136" s="81">
        <f t="shared" si="6"/>
        <v>1.8923145505446375E-2</v>
      </c>
    </row>
    <row r="137" spans="1:4" x14ac:dyDescent="0.25">
      <c r="A137" s="37">
        <v>2001</v>
      </c>
      <c r="B137" s="69">
        <f t="shared" si="5"/>
        <v>10.118449999999999</v>
      </c>
      <c r="C137" s="39">
        <v>287625193</v>
      </c>
      <c r="D137" s="81">
        <f t="shared" si="6"/>
        <v>3.5179289736278423E-2</v>
      </c>
    </row>
    <row r="138" spans="1:4" x14ac:dyDescent="0.25">
      <c r="A138" s="38">
        <v>2002</v>
      </c>
      <c r="B138" s="69">
        <f t="shared" si="5"/>
        <v>13.404857</v>
      </c>
      <c r="C138" s="40">
        <v>290107933</v>
      </c>
      <c r="D138" s="81">
        <f t="shared" si="6"/>
        <v>4.620644758445816E-2</v>
      </c>
    </row>
    <row r="139" spans="1:4" x14ac:dyDescent="0.25">
      <c r="A139" s="37">
        <v>2003</v>
      </c>
      <c r="B139" s="69">
        <f t="shared" si="5"/>
        <v>12.726922999999999</v>
      </c>
      <c r="C139" s="39">
        <v>292805298</v>
      </c>
      <c r="D139" s="81">
        <f t="shared" si="6"/>
        <v>4.3465480600695959E-2</v>
      </c>
    </row>
    <row r="140" spans="1:4" x14ac:dyDescent="0.25">
      <c r="A140" s="38">
        <v>2004</v>
      </c>
      <c r="B140" s="69">
        <f t="shared" si="5"/>
        <v>14.544615</v>
      </c>
      <c r="C140" s="40">
        <v>295516599</v>
      </c>
      <c r="D140" s="81">
        <f t="shared" si="6"/>
        <v>4.9217590650466304E-2</v>
      </c>
    </row>
    <row r="141" spans="1:4" x14ac:dyDescent="0.25">
      <c r="A141" s="37">
        <v>2005</v>
      </c>
      <c r="B141" s="69">
        <f t="shared" si="5"/>
        <v>18.657104</v>
      </c>
      <c r="C141" s="39">
        <v>298379912</v>
      </c>
      <c r="D141" s="81">
        <f t="shared" si="6"/>
        <v>6.2528016296217695E-2</v>
      </c>
    </row>
    <row r="142" spans="1:4" x14ac:dyDescent="0.25">
      <c r="A142" s="38">
        <v>2006</v>
      </c>
      <c r="B142" s="69">
        <f t="shared" si="5"/>
        <v>22.610883000000001</v>
      </c>
      <c r="C142" s="40">
        <v>301231207</v>
      </c>
      <c r="D142" s="81">
        <f t="shared" si="6"/>
        <v>7.5061555624281656E-2</v>
      </c>
    </row>
    <row r="143" spans="1:4" x14ac:dyDescent="0.25">
      <c r="A143" s="37">
        <v>2007</v>
      </c>
      <c r="B143" s="69">
        <f t="shared" si="5"/>
        <v>20.268450000000001</v>
      </c>
      <c r="C143" s="39">
        <v>304093966</v>
      </c>
      <c r="D143" s="81">
        <f t="shared" si="6"/>
        <v>6.6651930870604642E-2</v>
      </c>
    </row>
    <row r="144" spans="1:4" x14ac:dyDescent="0.25">
      <c r="A144" s="38">
        <v>2008</v>
      </c>
      <c r="B144" s="69">
        <f t="shared" si="5"/>
        <v>22.317267999999999</v>
      </c>
      <c r="C144" s="40">
        <v>306771529</v>
      </c>
      <c r="D144" s="81">
        <f t="shared" si="6"/>
        <v>7.2748824093125011E-2</v>
      </c>
    </row>
    <row r="145" spans="1:10" x14ac:dyDescent="0.25">
      <c r="A145" s="37">
        <v>2009</v>
      </c>
      <c r="B145" s="69">
        <f t="shared" si="5"/>
        <v>26.024861000000001</v>
      </c>
      <c r="C145" s="39">
        <v>308745538</v>
      </c>
      <c r="D145" s="81">
        <f t="shared" si="6"/>
        <v>8.4292265950091233E-2</v>
      </c>
    </row>
    <row r="146" spans="1:10" x14ac:dyDescent="0.25">
      <c r="A146" s="38">
        <v>2010</v>
      </c>
      <c r="B146" s="69">
        <f t="shared" si="5"/>
        <v>24.027443999999999</v>
      </c>
      <c r="C146" s="40">
        <v>309347057</v>
      </c>
      <c r="D146" s="81">
        <f t="shared" si="6"/>
        <v>7.7671480805456633E-2</v>
      </c>
    </row>
    <row r="147" spans="1:10" x14ac:dyDescent="0.25">
      <c r="A147" s="37">
        <v>2011</v>
      </c>
      <c r="B147" s="69">
        <f t="shared" si="5"/>
        <v>21.289726999999999</v>
      </c>
      <c r="C147" s="39">
        <v>311721632</v>
      </c>
      <c r="D147" s="81">
        <f t="shared" si="6"/>
        <v>6.8297239634623752E-2</v>
      </c>
    </row>
    <row r="148" spans="1:10" x14ac:dyDescent="0.25">
      <c r="A148" s="38">
        <v>2012</v>
      </c>
      <c r="B148" s="69">
        <f t="shared" si="5"/>
        <v>22.689461000000001</v>
      </c>
      <c r="C148" s="40">
        <v>314112078</v>
      </c>
      <c r="D148" s="81">
        <f t="shared" si="6"/>
        <v>7.2233647125151304E-2</v>
      </c>
    </row>
    <row r="149" spans="1:10" x14ac:dyDescent="0.25">
      <c r="A149" s="37">
        <v>2013</v>
      </c>
      <c r="B149" s="69">
        <f t="shared" si="5"/>
        <v>24.470265000000001</v>
      </c>
      <c r="C149" s="39">
        <v>316497531</v>
      </c>
      <c r="D149" s="81">
        <f t="shared" si="6"/>
        <v>7.7315816406795287E-2</v>
      </c>
    </row>
    <row r="150" spans="1:10" x14ac:dyDescent="0.25">
      <c r="A150" s="38">
        <v>2014</v>
      </c>
      <c r="B150" s="69">
        <f t="shared" si="5"/>
        <v>31.726458000000001</v>
      </c>
      <c r="C150" s="40">
        <v>318857056</v>
      </c>
      <c r="D150" s="81">
        <f t="shared" si="6"/>
        <v>9.9500567426677872E-2</v>
      </c>
    </row>
    <row r="151" spans="1:10" x14ac:dyDescent="0.25">
      <c r="A151" s="37">
        <v>2015</v>
      </c>
      <c r="B151" s="69">
        <f t="shared" si="5"/>
        <v>30.804566999999999</v>
      </c>
      <c r="C151" s="39">
        <v>321418820</v>
      </c>
      <c r="D151" s="81">
        <f t="shared" si="6"/>
        <v>9.5839338219211936E-2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102" t="s">
        <v>3</v>
      </c>
      <c r="B155" s="34" t="s">
        <v>67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88">
        <f t="shared" ref="B156:B180" si="7">B65</f>
        <v>62.641268000000004</v>
      </c>
      <c r="C156" s="39">
        <v>253620000</v>
      </c>
      <c r="D156" s="81">
        <f t="shared" ref="D156:D180" si="8">(B156/C156)*1000000</f>
        <v>0.2469886759719265</v>
      </c>
    </row>
    <row r="157" spans="1:10" x14ac:dyDescent="0.25">
      <c r="A157" s="38">
        <v>1992</v>
      </c>
      <c r="B157" s="88">
        <f t="shared" si="7"/>
        <v>110.05351999999999</v>
      </c>
      <c r="C157" s="40">
        <v>256516000</v>
      </c>
      <c r="D157" s="81">
        <f t="shared" si="8"/>
        <v>0.42903179528762336</v>
      </c>
    </row>
    <row r="158" spans="1:10" x14ac:dyDescent="0.25">
      <c r="A158" s="37">
        <v>1993</v>
      </c>
      <c r="B158" s="88">
        <f t="shared" si="7"/>
        <v>106.85463299999999</v>
      </c>
      <c r="C158" s="39">
        <v>259131000</v>
      </c>
      <c r="D158" s="81">
        <f t="shared" si="8"/>
        <v>0.41235758361600888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88">
        <f t="shared" si="7"/>
        <v>133.013238</v>
      </c>
      <c r="C159" s="40">
        <v>264061000</v>
      </c>
      <c r="D159" s="81">
        <f t="shared" si="8"/>
        <v>0.50372163250158108</v>
      </c>
    </row>
    <row r="160" spans="1:10" x14ac:dyDescent="0.25">
      <c r="A160" s="37">
        <v>1995</v>
      </c>
      <c r="B160" s="88">
        <f t="shared" si="7"/>
        <v>266.86911200000003</v>
      </c>
      <c r="C160" s="39">
        <v>266398000</v>
      </c>
      <c r="D160" s="81">
        <f t="shared" si="8"/>
        <v>1.0017684517151031</v>
      </c>
    </row>
    <row r="161" spans="1:4" x14ac:dyDescent="0.25">
      <c r="A161" s="38">
        <v>1996</v>
      </c>
      <c r="B161" s="88">
        <f t="shared" si="7"/>
        <v>388.81003000000004</v>
      </c>
      <c r="C161" s="40">
        <v>268930000</v>
      </c>
      <c r="D161" s="81">
        <f t="shared" si="8"/>
        <v>1.4457666679061469</v>
      </c>
    </row>
    <row r="162" spans="1:4" x14ac:dyDescent="0.25">
      <c r="A162" s="37">
        <v>1997</v>
      </c>
      <c r="B162" s="88">
        <f t="shared" si="7"/>
        <v>285.09615199999996</v>
      </c>
      <c r="C162" s="39">
        <v>271387000</v>
      </c>
      <c r="D162" s="81">
        <f t="shared" si="8"/>
        <v>1.0505151388975889</v>
      </c>
    </row>
    <row r="163" spans="1:4" x14ac:dyDescent="0.25">
      <c r="A163" s="38">
        <v>1998</v>
      </c>
      <c r="B163" s="88">
        <f t="shared" si="7"/>
        <v>335.98686500000002</v>
      </c>
      <c r="C163" s="40">
        <v>271584000</v>
      </c>
      <c r="D163" s="81">
        <f t="shared" si="8"/>
        <v>1.2371379204960529</v>
      </c>
    </row>
    <row r="164" spans="1:4" x14ac:dyDescent="0.25">
      <c r="A164" s="37">
        <v>1999</v>
      </c>
      <c r="B164" s="88">
        <f t="shared" si="7"/>
        <v>291.58306800000003</v>
      </c>
      <c r="C164" s="39">
        <v>274024000</v>
      </c>
      <c r="D164" s="81">
        <f t="shared" si="8"/>
        <v>1.0640785770589438</v>
      </c>
    </row>
    <row r="165" spans="1:4" x14ac:dyDescent="0.25">
      <c r="A165" s="38">
        <v>2000</v>
      </c>
      <c r="B165" s="88">
        <f t="shared" si="7"/>
        <v>287.51348400000001</v>
      </c>
      <c r="C165" s="40">
        <v>284968955</v>
      </c>
      <c r="D165" s="81">
        <f t="shared" si="8"/>
        <v>1.0089291445799773</v>
      </c>
    </row>
    <row r="166" spans="1:4" x14ac:dyDescent="0.25">
      <c r="A166" s="37">
        <v>2001</v>
      </c>
      <c r="B166" s="88">
        <f t="shared" si="7"/>
        <v>288.52642600000001</v>
      </c>
      <c r="C166" s="39">
        <v>287625193</v>
      </c>
      <c r="D166" s="81">
        <f t="shared" si="8"/>
        <v>1.0031333590448039</v>
      </c>
    </row>
    <row r="167" spans="1:4" x14ac:dyDescent="0.25">
      <c r="A167" s="38">
        <v>2002</v>
      </c>
      <c r="B167" s="88">
        <f t="shared" si="7"/>
        <v>351.76889499999999</v>
      </c>
      <c r="C167" s="40">
        <v>290107933</v>
      </c>
      <c r="D167" s="81">
        <f t="shared" si="8"/>
        <v>1.212544901348837</v>
      </c>
    </row>
    <row r="168" spans="1:4" x14ac:dyDescent="0.25">
      <c r="A168" s="37">
        <v>2003</v>
      </c>
      <c r="B168" s="88">
        <f t="shared" si="7"/>
        <v>338.55611199999998</v>
      </c>
      <c r="C168" s="39">
        <v>292805298</v>
      </c>
      <c r="D168" s="81">
        <f t="shared" si="8"/>
        <v>1.1562499528270147</v>
      </c>
    </row>
    <row r="169" spans="1:4" x14ac:dyDescent="0.25">
      <c r="A169" s="38">
        <v>2004</v>
      </c>
      <c r="B169" s="88">
        <f t="shared" si="7"/>
        <v>447.68242700000002</v>
      </c>
      <c r="C169" s="40">
        <v>295516599</v>
      </c>
      <c r="D169" s="81">
        <f t="shared" si="8"/>
        <v>1.5149146562829792</v>
      </c>
    </row>
    <row r="170" spans="1:4" x14ac:dyDescent="0.25">
      <c r="A170" s="37">
        <v>2005</v>
      </c>
      <c r="B170" s="88">
        <f t="shared" si="7"/>
        <v>455.57352000000003</v>
      </c>
      <c r="C170" s="39">
        <v>298379912</v>
      </c>
      <c r="D170" s="81">
        <f t="shared" si="8"/>
        <v>1.5268236958257433</v>
      </c>
    </row>
    <row r="171" spans="1:4" x14ac:dyDescent="0.25">
      <c r="A171" s="38">
        <v>2006</v>
      </c>
      <c r="B171" s="88">
        <f t="shared" si="7"/>
        <v>535.51750799999991</v>
      </c>
      <c r="C171" s="40">
        <v>301231207</v>
      </c>
      <c r="D171" s="81">
        <f t="shared" si="8"/>
        <v>1.7777623817043626</v>
      </c>
    </row>
    <row r="172" spans="1:4" x14ac:dyDescent="0.25">
      <c r="A172" s="37">
        <v>2007</v>
      </c>
      <c r="B172" s="88">
        <f t="shared" si="7"/>
        <v>888.51230199999998</v>
      </c>
      <c r="C172" s="39">
        <v>304093966</v>
      </c>
      <c r="D172" s="81">
        <f t="shared" si="8"/>
        <v>2.9218347002649829</v>
      </c>
    </row>
    <row r="173" spans="1:4" x14ac:dyDescent="0.25">
      <c r="A173" s="38">
        <v>2008</v>
      </c>
      <c r="B173" s="88">
        <f t="shared" si="7"/>
        <v>1168.5538710000001</v>
      </c>
      <c r="C173" s="40">
        <v>306771529</v>
      </c>
      <c r="D173" s="81">
        <f t="shared" si="8"/>
        <v>3.8091992265683823</v>
      </c>
    </row>
    <row r="174" spans="1:4" x14ac:dyDescent="0.25">
      <c r="A174" s="37">
        <v>2009</v>
      </c>
      <c r="B174" s="88">
        <f t="shared" si="7"/>
        <v>469.49337399999996</v>
      </c>
      <c r="C174" s="39">
        <v>308745538</v>
      </c>
      <c r="D174" s="81">
        <f t="shared" si="8"/>
        <v>1.5206482886887907</v>
      </c>
    </row>
    <row r="175" spans="1:4" x14ac:dyDescent="0.25">
      <c r="A175" s="38">
        <v>2010</v>
      </c>
      <c r="B175" s="88">
        <f t="shared" si="7"/>
        <v>349.00295799999998</v>
      </c>
      <c r="C175" s="40">
        <v>309347057</v>
      </c>
      <c r="D175" s="81">
        <f t="shared" si="8"/>
        <v>1.1281922685302934</v>
      </c>
    </row>
    <row r="176" spans="1:4" x14ac:dyDescent="0.25">
      <c r="A176" s="37">
        <v>2011</v>
      </c>
      <c r="B176" s="88">
        <f t="shared" si="7"/>
        <v>461.22297900000001</v>
      </c>
      <c r="C176" s="39">
        <v>311721632</v>
      </c>
      <c r="D176" s="81">
        <f t="shared" si="8"/>
        <v>1.4795988845586436</v>
      </c>
    </row>
    <row r="177" spans="1:4" x14ac:dyDescent="0.25">
      <c r="A177" s="38">
        <v>2012</v>
      </c>
      <c r="B177" s="88">
        <f t="shared" si="7"/>
        <v>312.25169899999997</v>
      </c>
      <c r="C177" s="40">
        <v>314112078</v>
      </c>
      <c r="D177" s="81">
        <f t="shared" si="8"/>
        <v>0.99407734012698479</v>
      </c>
    </row>
    <row r="178" spans="1:4" x14ac:dyDescent="0.25">
      <c r="A178" s="37">
        <v>2013</v>
      </c>
      <c r="B178" s="88">
        <f t="shared" si="7"/>
        <v>521.40771200000006</v>
      </c>
      <c r="C178" s="39">
        <v>316497531</v>
      </c>
      <c r="D178" s="81">
        <f t="shared" si="8"/>
        <v>1.6474305829576916</v>
      </c>
    </row>
    <row r="179" spans="1:4" x14ac:dyDescent="0.25">
      <c r="A179" s="38">
        <v>2014</v>
      </c>
      <c r="B179" s="88">
        <f t="shared" si="7"/>
        <v>1250.1815240000001</v>
      </c>
      <c r="C179" s="40">
        <v>318857056</v>
      </c>
      <c r="D179" s="81">
        <f t="shared" si="8"/>
        <v>3.9208212597936054</v>
      </c>
    </row>
    <row r="180" spans="1:4" x14ac:dyDescent="0.25">
      <c r="A180" s="37">
        <v>2015</v>
      </c>
      <c r="B180" s="88">
        <f t="shared" si="7"/>
        <v>1326.2938319999998</v>
      </c>
      <c r="C180" s="39">
        <v>321418820</v>
      </c>
      <c r="D180" s="81">
        <f t="shared" si="8"/>
        <v>4.1263726623101906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zoomScale="110" zoomScaleNormal="110" workbookViewId="0">
      <selection activeCell="G34" sqref="G34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  <col min="12" max="12" width="12.28515625" bestFit="1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13</v>
      </c>
      <c r="D5" s="13" t="s">
        <v>14</v>
      </c>
      <c r="E5" s="14" t="s">
        <v>4</v>
      </c>
    </row>
    <row r="6" spans="2:12" x14ac:dyDescent="0.25">
      <c r="B6" s="10">
        <v>1991</v>
      </c>
      <c r="C6" s="69">
        <f>'Export 04'!B2</f>
        <v>5.6062079999999996</v>
      </c>
      <c r="D6" s="2">
        <v>30.88664</v>
      </c>
      <c r="E6" s="77">
        <f t="shared" ref="E6:E30" si="0">(C6/D6)/100000000000</f>
        <v>1.8150915735735579E-12</v>
      </c>
    </row>
    <row r="7" spans="2:12" x14ac:dyDescent="0.25">
      <c r="B7" s="10">
        <v>1992</v>
      </c>
      <c r="C7" s="69">
        <f>'Export 04'!B3</f>
        <v>6.3740959999999998</v>
      </c>
      <c r="D7" s="2">
        <v>36.748779999999996</v>
      </c>
      <c r="E7" s="77">
        <f t="shared" si="0"/>
        <v>1.7345054720183908E-12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69">
        <f>'Export 04'!B4</f>
        <v>4.4266730000000001</v>
      </c>
      <c r="D8" s="2">
        <v>54.163779999999996</v>
      </c>
      <c r="E8" s="77">
        <f t="shared" si="0"/>
        <v>8.1727549295857864E-13</v>
      </c>
    </row>
    <row r="9" spans="2:12" x14ac:dyDescent="0.25">
      <c r="B9" s="10">
        <v>1994</v>
      </c>
      <c r="C9" s="69">
        <f>'Export 04'!B5</f>
        <v>6.7137019999999996</v>
      </c>
      <c r="D9" s="2">
        <v>82.613830000000007</v>
      </c>
      <c r="E9" s="77">
        <f t="shared" si="0"/>
        <v>8.1266078573042787E-13</v>
      </c>
    </row>
    <row r="10" spans="2:12" x14ac:dyDescent="0.25">
      <c r="B10" s="10">
        <v>1995</v>
      </c>
      <c r="C10" s="69">
        <f>'Export 04'!B6</f>
        <v>5.6899280000000001</v>
      </c>
      <c r="D10" s="2">
        <v>97.478279999999998</v>
      </c>
      <c r="E10" s="77">
        <f t="shared" si="0"/>
        <v>5.8371239213494542E-13</v>
      </c>
    </row>
    <row r="11" spans="2:12" x14ac:dyDescent="0.25">
      <c r="B11" s="10">
        <v>1996</v>
      </c>
      <c r="C11" s="69">
        <f>'Export 04'!B7</f>
        <v>3.9406219999999998</v>
      </c>
      <c r="D11" s="2">
        <v>137.40472</v>
      </c>
      <c r="E11" s="77">
        <f t="shared" si="0"/>
        <v>2.867894203343233E-13</v>
      </c>
    </row>
    <row r="12" spans="2:12" x14ac:dyDescent="0.25">
      <c r="B12" s="10">
        <v>1997</v>
      </c>
      <c r="C12" s="69">
        <f>'Export 04'!B8</f>
        <v>3.3122159999999998</v>
      </c>
      <c r="D12" s="2">
        <v>168.40043</v>
      </c>
      <c r="E12" s="77">
        <f t="shared" si="0"/>
        <v>1.9668690869732337E-13</v>
      </c>
    </row>
    <row r="13" spans="2:12" x14ac:dyDescent="0.25">
      <c r="B13" s="10">
        <v>1998</v>
      </c>
      <c r="C13" s="69">
        <f>'Export 04'!B9</f>
        <v>3.9153449999999999</v>
      </c>
      <c r="D13" s="2">
        <v>184.64424</v>
      </c>
      <c r="E13" s="77">
        <f t="shared" si="0"/>
        <v>2.1204804439066173E-13</v>
      </c>
    </row>
    <row r="14" spans="2:12" x14ac:dyDescent="0.25">
      <c r="B14" s="10">
        <v>1999</v>
      </c>
      <c r="C14" s="69">
        <f>'Export 04'!B10</f>
        <v>5.3999639999999998</v>
      </c>
      <c r="D14" s="2">
        <v>182.49723999999998</v>
      </c>
      <c r="E14" s="77">
        <f t="shared" si="0"/>
        <v>2.9589291322981107E-13</v>
      </c>
    </row>
    <row r="15" spans="2:12" x14ac:dyDescent="0.25">
      <c r="B15" s="10">
        <v>2000</v>
      </c>
      <c r="C15" s="69">
        <f>'Export 04'!B11</f>
        <v>5.3925090000000004</v>
      </c>
      <c r="D15" s="2">
        <v>173.83799999999999</v>
      </c>
      <c r="E15" s="77">
        <f t="shared" si="0"/>
        <v>3.1020312014634319E-13</v>
      </c>
    </row>
    <row r="16" spans="2:12" x14ac:dyDescent="0.25">
      <c r="B16" s="10">
        <v>2001</v>
      </c>
      <c r="C16" s="69">
        <f>'Export 04'!B12</f>
        <v>10.118449999999999</v>
      </c>
      <c r="D16" s="2">
        <v>169.57254999999998</v>
      </c>
      <c r="E16" s="77">
        <f t="shared" si="0"/>
        <v>5.9670329897144328E-13</v>
      </c>
    </row>
    <row r="17" spans="2:5" x14ac:dyDescent="0.25">
      <c r="B17" s="10">
        <v>2002</v>
      </c>
      <c r="C17" s="69">
        <f>'Export 04'!B13</f>
        <v>13.404857</v>
      </c>
      <c r="D17" s="2">
        <v>193.08387999999999</v>
      </c>
      <c r="E17" s="77">
        <f t="shared" si="0"/>
        <v>6.9425044700779788E-13</v>
      </c>
    </row>
    <row r="18" spans="2:5" x14ac:dyDescent="0.25">
      <c r="B18" s="10">
        <v>2003</v>
      </c>
      <c r="C18" s="69">
        <f>'Export 04'!B14</f>
        <v>12.726922999999999</v>
      </c>
      <c r="D18" s="2">
        <v>203.78914</v>
      </c>
      <c r="E18" s="77">
        <f t="shared" si="0"/>
        <v>6.2451428962308787E-13</v>
      </c>
    </row>
    <row r="19" spans="2:5" x14ac:dyDescent="0.25">
      <c r="B19" s="10">
        <v>2004</v>
      </c>
      <c r="C19" s="69">
        <f>'Export 04'!B15</f>
        <v>14.544615</v>
      </c>
      <c r="D19" s="2">
        <v>220.41551999999999</v>
      </c>
      <c r="E19" s="77">
        <f t="shared" si="0"/>
        <v>6.5987254436529701E-13</v>
      </c>
    </row>
    <row r="20" spans="2:5" x14ac:dyDescent="0.25">
      <c r="B20" s="10">
        <v>2005</v>
      </c>
      <c r="C20" s="69">
        <f>'Export 04'!B16</f>
        <v>18.657104</v>
      </c>
      <c r="D20" s="2">
        <v>255.02369000000002</v>
      </c>
      <c r="E20" s="77">
        <f t="shared" si="0"/>
        <v>7.3158317174377011E-13</v>
      </c>
    </row>
    <row r="21" spans="2:5" x14ac:dyDescent="0.25">
      <c r="B21" s="10">
        <v>2006</v>
      </c>
      <c r="C21" s="69">
        <f>'Export 04'!B17</f>
        <v>22.610883000000001</v>
      </c>
      <c r="D21" s="2">
        <v>289.62955999999997</v>
      </c>
      <c r="E21" s="77">
        <f t="shared" si="0"/>
        <v>7.8068284880866452E-13</v>
      </c>
    </row>
    <row r="22" spans="2:5" x14ac:dyDescent="0.25">
      <c r="B22" s="10">
        <v>2007</v>
      </c>
      <c r="C22" s="69">
        <f>'Export 04'!B18</f>
        <v>20.268450000000001</v>
      </c>
      <c r="D22" s="2">
        <v>315.86653999999999</v>
      </c>
      <c r="E22" s="77">
        <f t="shared" si="0"/>
        <v>6.4167765284667393E-13</v>
      </c>
    </row>
    <row r="23" spans="2:5" x14ac:dyDescent="0.25">
      <c r="B23" s="10">
        <v>2008</v>
      </c>
      <c r="C23" s="69">
        <f>'Export 04'!B19</f>
        <v>22.317267999999999</v>
      </c>
      <c r="D23" s="2">
        <v>356.99453000000005</v>
      </c>
      <c r="E23" s="77">
        <f t="shared" si="0"/>
        <v>6.2514313594664871E-13</v>
      </c>
    </row>
    <row r="24" spans="2:5" x14ac:dyDescent="0.25">
      <c r="B24" s="10">
        <v>2009</v>
      </c>
      <c r="C24" s="69">
        <f>'Export 04'!B20</f>
        <v>26.024861000000001</v>
      </c>
      <c r="D24" s="2">
        <v>413.96373999999997</v>
      </c>
      <c r="E24" s="77">
        <f t="shared" si="0"/>
        <v>6.2867489311986597E-13</v>
      </c>
    </row>
    <row r="25" spans="2:5" x14ac:dyDescent="0.25">
      <c r="B25" s="10">
        <v>2010</v>
      </c>
      <c r="C25" s="69">
        <f>'Export 04'!B21</f>
        <v>24.027443999999999</v>
      </c>
      <c r="D25" s="2">
        <v>476.72912000000002</v>
      </c>
      <c r="E25" s="77">
        <f t="shared" si="0"/>
        <v>5.0400621636035158E-13</v>
      </c>
    </row>
    <row r="26" spans="2:5" x14ac:dyDescent="0.25">
      <c r="B26" s="10">
        <v>2011</v>
      </c>
      <c r="C26" s="69">
        <f>'Export 04'!B22</f>
        <v>21.289726999999999</v>
      </c>
      <c r="D26" s="2">
        <v>449.90528999999998</v>
      </c>
      <c r="E26" s="77">
        <f t="shared" si="0"/>
        <v>4.7320463824730759E-13</v>
      </c>
    </row>
    <row r="27" spans="2:5" x14ac:dyDescent="0.25">
      <c r="B27" s="10">
        <v>2012</v>
      </c>
      <c r="C27" s="69">
        <f>'Export 04'!B23</f>
        <v>22.689461000000001</v>
      </c>
      <c r="D27" s="2">
        <v>494.70812999999998</v>
      </c>
      <c r="E27" s="77">
        <f t="shared" si="0"/>
        <v>4.5864338231110136E-13</v>
      </c>
    </row>
    <row r="28" spans="2:5" x14ac:dyDescent="0.25">
      <c r="B28" s="10">
        <v>2013</v>
      </c>
      <c r="C28" s="69">
        <f>'Export 04'!B24</f>
        <v>24.470265000000001</v>
      </c>
      <c r="D28" s="2">
        <v>585.44633999999996</v>
      </c>
      <c r="E28" s="77">
        <f t="shared" si="0"/>
        <v>4.1797622306426927E-13</v>
      </c>
    </row>
    <row r="29" spans="2:5" x14ac:dyDescent="0.25">
      <c r="B29" s="10">
        <v>2014</v>
      </c>
      <c r="C29" s="69">
        <f>'Export 04'!B25</f>
        <v>31.726458000000001</v>
      </c>
      <c r="D29" s="2">
        <v>607.30944999999997</v>
      </c>
      <c r="E29" s="77">
        <f t="shared" si="0"/>
        <v>5.2241008270166061E-13</v>
      </c>
    </row>
    <row r="30" spans="2:5" x14ac:dyDescent="0.25">
      <c r="B30" s="11">
        <v>2015</v>
      </c>
      <c r="C30" s="69">
        <f>'Export 04'!B26</f>
        <v>30.804566999999999</v>
      </c>
      <c r="D30" s="2">
        <v>645.33130000000006</v>
      </c>
      <c r="E30" s="77">
        <f t="shared" si="0"/>
        <v>4.7734500093207929E-13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</row>
    <row r="36" spans="2:12" ht="60" x14ac:dyDescent="0.25">
      <c r="B36" s="12" t="s">
        <v>3</v>
      </c>
      <c r="C36" s="13" t="s">
        <v>16</v>
      </c>
      <c r="D36" s="13" t="s">
        <v>14</v>
      </c>
      <c r="E36" s="14" t="s">
        <v>81</v>
      </c>
    </row>
    <row r="37" spans="2:12" x14ac:dyDescent="0.25">
      <c r="B37" s="10">
        <v>1991</v>
      </c>
      <c r="C37" s="88">
        <f>' Per Cápita 04'!B36</f>
        <v>57.035060000000001</v>
      </c>
      <c r="D37" s="2">
        <v>30.88664</v>
      </c>
      <c r="E37" s="79">
        <f t="shared" ref="E37:E61" si="1">(C37/D37)/1000000000</f>
        <v>1.8465932195926785E-9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88">
        <f>' Per Cápita 04'!B37</f>
        <v>103.679424</v>
      </c>
      <c r="D38" s="2">
        <v>36.748779999999996</v>
      </c>
      <c r="E38" s="79">
        <f t="shared" si="1"/>
        <v>2.821302475891717E-9</v>
      </c>
    </row>
    <row r="39" spans="2:12" x14ac:dyDescent="0.25">
      <c r="B39" s="10">
        <v>1993</v>
      </c>
      <c r="C39" s="88">
        <f>' Per Cápita 04'!B38</f>
        <v>102.42796</v>
      </c>
      <c r="D39" s="2">
        <v>54.163779999999996</v>
      </c>
      <c r="E39" s="79">
        <f t="shared" si="1"/>
        <v>1.891078503014376E-9</v>
      </c>
    </row>
    <row r="40" spans="2:12" x14ac:dyDescent="0.25">
      <c r="B40" s="10">
        <v>1994</v>
      </c>
      <c r="C40" s="88">
        <f>' Per Cápita 04'!B39</f>
        <v>126.299536</v>
      </c>
      <c r="D40" s="2">
        <v>82.613830000000007</v>
      </c>
      <c r="E40" s="79">
        <f t="shared" si="1"/>
        <v>1.5287941014234541E-9</v>
      </c>
    </row>
    <row r="41" spans="2:12" x14ac:dyDescent="0.25">
      <c r="B41" s="10">
        <v>1995</v>
      </c>
      <c r="C41" s="88">
        <f>' Per Cápita 04'!B40</f>
        <v>261.17918400000002</v>
      </c>
      <c r="D41" s="2">
        <v>97.478279999999998</v>
      </c>
      <c r="E41" s="79">
        <f t="shared" si="1"/>
        <v>2.6793577400011572E-9</v>
      </c>
    </row>
    <row r="42" spans="2:12" x14ac:dyDescent="0.25">
      <c r="B42" s="10">
        <v>1996</v>
      </c>
      <c r="C42" s="88">
        <f>' Per Cápita 04'!B41</f>
        <v>384.86940800000002</v>
      </c>
      <c r="D42" s="2">
        <v>137.40472</v>
      </c>
      <c r="E42" s="79">
        <f t="shared" si="1"/>
        <v>2.8009911741023165E-9</v>
      </c>
    </row>
    <row r="43" spans="2:12" x14ac:dyDescent="0.25">
      <c r="B43" s="10">
        <v>1997</v>
      </c>
      <c r="C43" s="88">
        <f>' Per Cápita 04'!B42</f>
        <v>281.78393599999998</v>
      </c>
      <c r="D43" s="2">
        <v>168.40043</v>
      </c>
      <c r="E43" s="79">
        <f t="shared" si="1"/>
        <v>1.6732970099898198E-9</v>
      </c>
    </row>
    <row r="44" spans="2:12" x14ac:dyDescent="0.25">
      <c r="B44" s="10">
        <v>1998</v>
      </c>
      <c r="C44" s="88">
        <f>' Per Cápita 04'!B43</f>
        <v>332.07152000000002</v>
      </c>
      <c r="D44" s="2">
        <v>184.64424</v>
      </c>
      <c r="E44" s="79">
        <f t="shared" si="1"/>
        <v>1.7984396372180362E-9</v>
      </c>
    </row>
    <row r="45" spans="2:12" x14ac:dyDescent="0.25">
      <c r="B45" s="10">
        <v>1999</v>
      </c>
      <c r="C45" s="88">
        <f>' Per Cápita 04'!B44</f>
        <v>286.18310400000001</v>
      </c>
      <c r="D45" s="2">
        <v>182.49723999999998</v>
      </c>
      <c r="E45" s="79">
        <f t="shared" si="1"/>
        <v>1.5681503128485672E-9</v>
      </c>
    </row>
    <row r="46" spans="2:12" x14ac:dyDescent="0.25">
      <c r="B46" s="10">
        <v>2000</v>
      </c>
      <c r="C46" s="88">
        <f>' Per Cápita 04'!B45</f>
        <v>282.12097499999999</v>
      </c>
      <c r="D46" s="2">
        <v>173.83799999999999</v>
      </c>
      <c r="E46" s="79">
        <f t="shared" si="1"/>
        <v>1.6228958858247334E-9</v>
      </c>
    </row>
    <row r="47" spans="2:12" x14ac:dyDescent="0.25">
      <c r="B47" s="10">
        <v>2001</v>
      </c>
      <c r="C47" s="88">
        <f>' Per Cápita 04'!B46</f>
        <v>278.40797600000002</v>
      </c>
      <c r="D47" s="2">
        <v>169.57254999999998</v>
      </c>
      <c r="E47" s="79">
        <f t="shared" si="1"/>
        <v>1.6418221935095041E-9</v>
      </c>
    </row>
    <row r="48" spans="2:12" x14ac:dyDescent="0.25">
      <c r="B48" s="10">
        <v>2002</v>
      </c>
      <c r="C48" s="88">
        <f>' Per Cápita 04'!B47</f>
        <v>338.36403799999999</v>
      </c>
      <c r="D48" s="2">
        <v>193.08387999999999</v>
      </c>
      <c r="E48" s="79">
        <f t="shared" si="1"/>
        <v>1.7524199223674189E-9</v>
      </c>
    </row>
    <row r="49" spans="2:6" x14ac:dyDescent="0.25">
      <c r="B49" s="10">
        <v>2003</v>
      </c>
      <c r="C49" s="88">
        <f>' Per Cápita 04'!B48</f>
        <v>325.82918899999999</v>
      </c>
      <c r="D49" s="2">
        <v>203.78914</v>
      </c>
      <c r="E49" s="79">
        <f t="shared" si="1"/>
        <v>1.5988545267917614E-9</v>
      </c>
    </row>
    <row r="50" spans="2:6" x14ac:dyDescent="0.25">
      <c r="B50" s="10">
        <v>2004</v>
      </c>
      <c r="C50" s="88">
        <f>' Per Cápita 04'!B49</f>
        <v>433.137812</v>
      </c>
      <c r="D50" s="2">
        <v>220.41551999999999</v>
      </c>
      <c r="E50" s="79">
        <f t="shared" si="1"/>
        <v>1.9650967046240665E-9</v>
      </c>
    </row>
    <row r="51" spans="2:6" x14ac:dyDescent="0.25">
      <c r="B51" s="10">
        <v>2005</v>
      </c>
      <c r="C51" s="88">
        <f>' Per Cápita 04'!B50</f>
        <v>436.91641600000003</v>
      </c>
      <c r="D51" s="2">
        <v>255.02369000000002</v>
      </c>
      <c r="E51" s="79">
        <f t="shared" si="1"/>
        <v>1.7132385465836526E-9</v>
      </c>
    </row>
    <row r="52" spans="2:6" x14ac:dyDescent="0.25">
      <c r="B52" s="10">
        <v>2006</v>
      </c>
      <c r="C52" s="88">
        <f>' Per Cápita 04'!B51</f>
        <v>512.90662499999996</v>
      </c>
      <c r="D52" s="2">
        <v>289.62955999999997</v>
      </c>
      <c r="E52" s="79">
        <f t="shared" si="1"/>
        <v>1.7709056527241211E-9</v>
      </c>
    </row>
    <row r="53" spans="2:6" x14ac:dyDescent="0.25">
      <c r="B53" s="10">
        <v>2007</v>
      </c>
      <c r="C53" s="88">
        <f>' Per Cápita 04'!B52</f>
        <v>868.24385199999995</v>
      </c>
      <c r="D53" s="2">
        <v>315.86653999999999</v>
      </c>
      <c r="E53" s="79">
        <f t="shared" si="1"/>
        <v>2.748768046150124E-9</v>
      </c>
    </row>
    <row r="54" spans="2:6" x14ac:dyDescent="0.25">
      <c r="B54" s="10">
        <v>2008</v>
      </c>
      <c r="C54" s="88">
        <f>' Per Cápita 04'!B53</f>
        <v>1146.2366030000001</v>
      </c>
      <c r="D54" s="2">
        <v>356.99453000000005</v>
      </c>
      <c r="E54" s="79">
        <f t="shared" si="1"/>
        <v>3.2107959833446184E-9</v>
      </c>
    </row>
    <row r="55" spans="2:6" x14ac:dyDescent="0.25">
      <c r="B55" s="10">
        <v>2009</v>
      </c>
      <c r="C55" s="88">
        <f>' Per Cápita 04'!B54</f>
        <v>443.46851299999997</v>
      </c>
      <c r="D55" s="2">
        <v>413.96373999999997</v>
      </c>
      <c r="E55" s="79">
        <f t="shared" si="1"/>
        <v>1.0712738101167991E-9</v>
      </c>
    </row>
    <row r="56" spans="2:6" x14ac:dyDescent="0.25">
      <c r="B56" s="10">
        <v>2010</v>
      </c>
      <c r="C56" s="88">
        <f>' Per Cápita 04'!B55</f>
        <v>324.97551399999998</v>
      </c>
      <c r="D56" s="2">
        <v>476.72912000000002</v>
      </c>
      <c r="E56" s="79">
        <f t="shared" si="1"/>
        <v>6.8167749853417805E-10</v>
      </c>
    </row>
    <row r="57" spans="2:6" x14ac:dyDescent="0.25">
      <c r="B57" s="10">
        <v>2011</v>
      </c>
      <c r="C57" s="88">
        <f>' Per Cápita 04'!B56</f>
        <v>439.93325199999998</v>
      </c>
      <c r="D57" s="2">
        <v>449.90528999999998</v>
      </c>
      <c r="E57" s="79">
        <f t="shared" si="1"/>
        <v>9.7783525061463505E-10</v>
      </c>
    </row>
    <row r="58" spans="2:6" x14ac:dyDescent="0.25">
      <c r="B58" s="10">
        <v>2012</v>
      </c>
      <c r="C58" s="88">
        <f>' Per Cápita 04'!B57</f>
        <v>289.56223799999998</v>
      </c>
      <c r="D58" s="2">
        <v>494.70812999999998</v>
      </c>
      <c r="E58" s="79">
        <f t="shared" si="1"/>
        <v>5.8531934375123364E-10</v>
      </c>
    </row>
    <row r="59" spans="2:6" x14ac:dyDescent="0.25">
      <c r="B59" s="10">
        <v>2013</v>
      </c>
      <c r="C59" s="88">
        <f>' Per Cápita 04'!B58</f>
        <v>496.93744700000002</v>
      </c>
      <c r="D59" s="2">
        <v>585.44633999999996</v>
      </c>
      <c r="E59" s="79">
        <f t="shared" si="1"/>
        <v>8.4881809492565969E-10</v>
      </c>
    </row>
    <row r="60" spans="2:6" x14ac:dyDescent="0.25">
      <c r="B60" s="10">
        <v>2014</v>
      </c>
      <c r="C60" s="88">
        <f>' Per Cápita 04'!B59</f>
        <v>1218.455066</v>
      </c>
      <c r="D60" s="2">
        <v>607.30944999999997</v>
      </c>
      <c r="E60" s="79">
        <f t="shared" si="1"/>
        <v>2.0063166578422251E-9</v>
      </c>
    </row>
    <row r="61" spans="2:6" x14ac:dyDescent="0.25">
      <c r="B61" s="11">
        <v>2015</v>
      </c>
      <c r="C61" s="88">
        <f>' Per Cápita 04'!B60</f>
        <v>1295.4892649999999</v>
      </c>
      <c r="D61" s="2">
        <v>645.33130000000006</v>
      </c>
      <c r="E61" s="79">
        <f t="shared" si="1"/>
        <v>2.007479359826495E-9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90" x14ac:dyDescent="0.25">
      <c r="B67" s="12" t="s">
        <v>3</v>
      </c>
      <c r="C67" s="13" t="s">
        <v>83</v>
      </c>
      <c r="D67" s="13" t="s">
        <v>87</v>
      </c>
      <c r="E67" s="14" t="s">
        <v>82</v>
      </c>
    </row>
    <row r="68" spans="2:12" x14ac:dyDescent="0.25">
      <c r="B68" s="10">
        <v>1991</v>
      </c>
      <c r="C68" s="80">
        <f>' Per Cápita 04'!B65</f>
        <v>62.641268000000004</v>
      </c>
      <c r="D68" s="2">
        <f t="shared" ref="D68:D92" si="2">D37*2</f>
        <v>61.77328</v>
      </c>
      <c r="E68" s="79">
        <f t="shared" ref="E68:E92" si="3">(C68/D68)/100000000</f>
        <v>1.0140511884750172E-8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80">
        <f>' Per Cápita 04'!B66</f>
        <v>110.05351999999999</v>
      </c>
      <c r="D69" s="2">
        <f t="shared" si="2"/>
        <v>73.497559999999993</v>
      </c>
      <c r="E69" s="79">
        <f t="shared" si="3"/>
        <v>1.497376511546778E-8</v>
      </c>
    </row>
    <row r="70" spans="2:12" x14ac:dyDescent="0.25">
      <c r="B70" s="10">
        <v>1993</v>
      </c>
      <c r="C70" s="80">
        <f>' Per Cápita 04'!B67</f>
        <v>106.85463299999999</v>
      </c>
      <c r="D70" s="2">
        <f t="shared" si="2"/>
        <v>108.32755999999999</v>
      </c>
      <c r="E70" s="79">
        <f t="shared" si="3"/>
        <v>9.8640302615511707E-9</v>
      </c>
    </row>
    <row r="71" spans="2:12" x14ac:dyDescent="0.25">
      <c r="B71" s="10">
        <v>1994</v>
      </c>
      <c r="C71" s="80">
        <f>' Per Cápita 04'!B68</f>
        <v>133.013238</v>
      </c>
      <c r="D71" s="2">
        <f t="shared" si="2"/>
        <v>165.22766000000001</v>
      </c>
      <c r="E71" s="79">
        <f t="shared" si="3"/>
        <v>8.0503008999824845E-9</v>
      </c>
    </row>
    <row r="72" spans="2:12" x14ac:dyDescent="0.25">
      <c r="B72" s="10">
        <v>1995</v>
      </c>
      <c r="C72" s="80">
        <f>' Per Cápita 04'!B69</f>
        <v>266.86911200000003</v>
      </c>
      <c r="D72" s="2">
        <f t="shared" si="2"/>
        <v>194.95656</v>
      </c>
      <c r="E72" s="79">
        <f t="shared" si="3"/>
        <v>1.3688644896073261E-8</v>
      </c>
    </row>
    <row r="73" spans="2:12" x14ac:dyDescent="0.25">
      <c r="B73" s="10">
        <v>1996</v>
      </c>
      <c r="C73" s="80">
        <f>' Per Cápita 04'!B70</f>
        <v>388.81003000000004</v>
      </c>
      <c r="D73" s="2">
        <f t="shared" si="2"/>
        <v>274.80944</v>
      </c>
      <c r="E73" s="79">
        <f t="shared" si="3"/>
        <v>1.4148350580678743E-8</v>
      </c>
    </row>
    <row r="74" spans="2:12" x14ac:dyDescent="0.25">
      <c r="B74" s="10">
        <v>1997</v>
      </c>
      <c r="C74" s="80">
        <f>' Per Cápita 04'!B71</f>
        <v>285.09615199999996</v>
      </c>
      <c r="D74" s="2">
        <f t="shared" si="2"/>
        <v>336.80086</v>
      </c>
      <c r="E74" s="79">
        <f t="shared" si="3"/>
        <v>8.4648285042977608E-9</v>
      </c>
    </row>
    <row r="75" spans="2:12" x14ac:dyDescent="0.25">
      <c r="B75" s="10">
        <v>1998</v>
      </c>
      <c r="C75" s="80">
        <f>' Per Cápita 04'!B72</f>
        <v>335.98686500000002</v>
      </c>
      <c r="D75" s="2">
        <f t="shared" si="2"/>
        <v>369.28847999999999</v>
      </c>
      <c r="E75" s="79">
        <f t="shared" si="3"/>
        <v>9.098222208285512E-9</v>
      </c>
    </row>
    <row r="76" spans="2:12" x14ac:dyDescent="0.25">
      <c r="B76" s="10">
        <v>1999</v>
      </c>
      <c r="C76" s="80">
        <f>' Per Cápita 04'!B73</f>
        <v>291.58306800000003</v>
      </c>
      <c r="D76" s="2">
        <f t="shared" si="2"/>
        <v>364.99447999999995</v>
      </c>
      <c r="E76" s="79">
        <f t="shared" si="3"/>
        <v>7.9886980208577422E-9</v>
      </c>
    </row>
    <row r="77" spans="2:12" x14ac:dyDescent="0.25">
      <c r="B77" s="10">
        <v>2000</v>
      </c>
      <c r="C77" s="80">
        <f>' Per Cápita 04'!B74</f>
        <v>287.51348400000001</v>
      </c>
      <c r="D77" s="2">
        <f t="shared" si="2"/>
        <v>347.67599999999999</v>
      </c>
      <c r="E77" s="79">
        <f t="shared" si="3"/>
        <v>8.2695809891968386E-9</v>
      </c>
    </row>
    <row r="78" spans="2:12" x14ac:dyDescent="0.25">
      <c r="B78" s="10">
        <v>2001</v>
      </c>
      <c r="C78" s="80">
        <f>' Per Cápita 04'!B75</f>
        <v>288.52642600000001</v>
      </c>
      <c r="D78" s="2">
        <f t="shared" si="2"/>
        <v>339.14509999999996</v>
      </c>
      <c r="E78" s="79">
        <f t="shared" si="3"/>
        <v>8.5074626170332419E-9</v>
      </c>
    </row>
    <row r="79" spans="2:12" x14ac:dyDescent="0.25">
      <c r="B79" s="10">
        <v>2002</v>
      </c>
      <c r="C79" s="80">
        <f>' Per Cápita 04'!B76</f>
        <v>351.76889499999999</v>
      </c>
      <c r="D79" s="2">
        <f t="shared" si="2"/>
        <v>386.16775999999999</v>
      </c>
      <c r="E79" s="79">
        <f t="shared" si="3"/>
        <v>9.1092248353409918E-9</v>
      </c>
    </row>
    <row r="80" spans="2:12" x14ac:dyDescent="0.25">
      <c r="B80" s="10">
        <v>2003</v>
      </c>
      <c r="C80" s="80">
        <f>' Per Cápita 04'!B77</f>
        <v>338.55611199999998</v>
      </c>
      <c r="D80" s="2">
        <f t="shared" si="2"/>
        <v>407.57828000000001</v>
      </c>
      <c r="E80" s="79">
        <f t="shared" si="3"/>
        <v>8.3065297787703502E-9</v>
      </c>
    </row>
    <row r="81" spans="2:5" x14ac:dyDescent="0.25">
      <c r="B81" s="10">
        <v>2004</v>
      </c>
      <c r="C81" s="80">
        <f>' Per Cápita 04'!B78</f>
        <v>447.68242700000002</v>
      </c>
      <c r="D81" s="2">
        <f t="shared" si="2"/>
        <v>440.83103999999997</v>
      </c>
      <c r="E81" s="79">
        <f t="shared" si="3"/>
        <v>1.0155419795302983E-8</v>
      </c>
    </row>
    <row r="82" spans="2:5" x14ac:dyDescent="0.25">
      <c r="B82" s="10">
        <v>2005</v>
      </c>
      <c r="C82" s="80">
        <f>' Per Cápita 04'!B79</f>
        <v>455.57352000000003</v>
      </c>
      <c r="D82" s="2">
        <f t="shared" si="2"/>
        <v>510.04738000000003</v>
      </c>
      <c r="E82" s="79">
        <f t="shared" si="3"/>
        <v>8.9319843187901489E-9</v>
      </c>
    </row>
    <row r="83" spans="2:5" x14ac:dyDescent="0.25">
      <c r="B83" s="10">
        <v>2006</v>
      </c>
      <c r="C83" s="80">
        <f>' Per Cápita 04'!B80</f>
        <v>535.51750799999991</v>
      </c>
      <c r="D83" s="2">
        <f t="shared" si="2"/>
        <v>579.25911999999994</v>
      </c>
      <c r="E83" s="79">
        <f t="shared" si="3"/>
        <v>9.2448696880249369E-9</v>
      </c>
    </row>
    <row r="84" spans="2:5" x14ac:dyDescent="0.25">
      <c r="B84" s="10">
        <v>2007</v>
      </c>
      <c r="C84" s="80">
        <f>' Per Cápita 04'!B81</f>
        <v>888.51230199999998</v>
      </c>
      <c r="D84" s="2">
        <f t="shared" si="2"/>
        <v>631.73307999999997</v>
      </c>
      <c r="E84" s="79">
        <f t="shared" si="3"/>
        <v>1.4064679057173957E-8</v>
      </c>
    </row>
    <row r="85" spans="2:5" x14ac:dyDescent="0.25">
      <c r="B85" s="10">
        <v>2008</v>
      </c>
      <c r="C85" s="80">
        <f>' Per Cápita 04'!B82</f>
        <v>1168.5538710000001</v>
      </c>
      <c r="D85" s="2">
        <f t="shared" si="2"/>
        <v>713.98906000000011</v>
      </c>
      <c r="E85" s="79">
        <f t="shared" si="3"/>
        <v>1.6366551484696415E-8</v>
      </c>
    </row>
    <row r="86" spans="2:5" x14ac:dyDescent="0.25">
      <c r="B86" s="10">
        <v>2009</v>
      </c>
      <c r="C86" s="80">
        <f>' Per Cápita 04'!B83</f>
        <v>469.49337399999996</v>
      </c>
      <c r="D86" s="2">
        <f t="shared" si="2"/>
        <v>827.92747999999995</v>
      </c>
      <c r="E86" s="79">
        <f t="shared" si="3"/>
        <v>5.670706497143928E-9</v>
      </c>
    </row>
    <row r="87" spans="2:5" x14ac:dyDescent="0.25">
      <c r="B87" s="10">
        <v>2010</v>
      </c>
      <c r="C87" s="80">
        <f>' Per Cápita 04'!B84</f>
        <v>349.00295799999998</v>
      </c>
      <c r="D87" s="2">
        <f t="shared" si="2"/>
        <v>953.45824000000005</v>
      </c>
      <c r="E87" s="79">
        <f t="shared" si="3"/>
        <v>3.6603906008510657E-9</v>
      </c>
    </row>
    <row r="88" spans="2:5" x14ac:dyDescent="0.25">
      <c r="B88" s="10">
        <v>2011</v>
      </c>
      <c r="C88" s="80">
        <f>' Per Cápita 04'!B85</f>
        <v>461.22297900000001</v>
      </c>
      <c r="D88" s="2">
        <f t="shared" si="2"/>
        <v>899.81057999999996</v>
      </c>
      <c r="E88" s="79">
        <f t="shared" si="3"/>
        <v>5.1257785721968288E-9</v>
      </c>
    </row>
    <row r="89" spans="2:5" x14ac:dyDescent="0.25">
      <c r="B89" s="10">
        <v>2012</v>
      </c>
      <c r="C89" s="80">
        <f>' Per Cápita 04'!B86</f>
        <v>312.25169899999997</v>
      </c>
      <c r="D89" s="2">
        <f t="shared" si="2"/>
        <v>989.41625999999997</v>
      </c>
      <c r="E89" s="79">
        <f t="shared" si="3"/>
        <v>3.1559184099117189E-9</v>
      </c>
    </row>
    <row r="90" spans="2:5" x14ac:dyDescent="0.25">
      <c r="B90" s="10">
        <v>2013</v>
      </c>
      <c r="C90" s="80">
        <f>' Per Cápita 04'!B87</f>
        <v>521.40771200000006</v>
      </c>
      <c r="D90" s="2">
        <f t="shared" si="2"/>
        <v>1170.8926799999999</v>
      </c>
      <c r="E90" s="79">
        <f t="shared" si="3"/>
        <v>4.4530785861604334E-9</v>
      </c>
    </row>
    <row r="91" spans="2:5" x14ac:dyDescent="0.25">
      <c r="B91" s="10">
        <v>2014</v>
      </c>
      <c r="C91" s="80">
        <f>' Per Cápita 04'!B88</f>
        <v>1250.1815240000001</v>
      </c>
      <c r="D91" s="2">
        <f t="shared" si="2"/>
        <v>1214.6188999999999</v>
      </c>
      <c r="E91" s="79">
        <f t="shared" si="3"/>
        <v>1.0292788330561957E-8</v>
      </c>
    </row>
    <row r="92" spans="2:5" x14ac:dyDescent="0.25">
      <c r="B92" s="11">
        <v>2015</v>
      </c>
      <c r="C92" s="80">
        <f>' Per Cápita 04'!B89</f>
        <v>1326.2938319999998</v>
      </c>
      <c r="D92" s="2">
        <f t="shared" si="2"/>
        <v>1290.6626000000001</v>
      </c>
      <c r="E92" s="79">
        <f t="shared" si="3"/>
        <v>1.0276069299598514E-8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A31" zoomScale="80" zoomScaleNormal="80" workbookViewId="0">
      <selection activeCell="F34" sqref="F34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19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74">
        <f>'Balanza c 04'!B2</f>
        <v>-51.428851999999999</v>
      </c>
      <c r="C5" s="27">
        <v>881.41649700000005</v>
      </c>
      <c r="D5" s="2">
        <v>1806.394</v>
      </c>
      <c r="E5" s="5">
        <v>218.072048</v>
      </c>
      <c r="F5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-5.693921881977787E-3</v>
      </c>
      <c r="G5" s="7" t="s">
        <v>96</v>
      </c>
      <c r="L5" s="49" t="s">
        <v>97</v>
      </c>
    </row>
    <row r="6" spans="1:17" x14ac:dyDescent="0.25">
      <c r="A6" s="10">
        <v>1992</v>
      </c>
      <c r="B6" s="74">
        <f>'Balanza c 04'!B3</f>
        <v>-97.305328000000003</v>
      </c>
      <c r="C6" s="27">
        <v>983.24995899999999</v>
      </c>
      <c r="D6" s="2">
        <v>3152.6379999999999</v>
      </c>
      <c r="E6" s="5">
        <v>433.62799100000001</v>
      </c>
      <c r="F6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-9.478289377592335E-3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74">
        <f>'Balanza c 04'!B4</f>
        <v>-98.001287000000005</v>
      </c>
      <c r="C7" s="27">
        <v>959.41936999999996</v>
      </c>
      <c r="D7" s="2">
        <v>3215.2869999999998</v>
      </c>
      <c r="E7" s="5">
        <v>473.60294699999997</v>
      </c>
      <c r="F7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-9.7341345317301774E-3</v>
      </c>
      <c r="G7" s="1"/>
      <c r="M7" s="49"/>
      <c r="N7" s="49"/>
      <c r="O7" s="49"/>
    </row>
    <row r="8" spans="1:17" x14ac:dyDescent="0.25">
      <c r="A8" s="10">
        <v>1994</v>
      </c>
      <c r="B8" s="74">
        <f>'Balanza c 04'!B5</f>
        <v>-119.58583400000001</v>
      </c>
      <c r="C8" s="27">
        <v>1017.331577</v>
      </c>
      <c r="D8" s="2">
        <v>4474.9809999999998</v>
      </c>
      <c r="E8" s="5">
        <v>632.10264900000004</v>
      </c>
      <c r="F8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-1.1067209927726909E-2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74">
        <f>'Balanza c 04'!B6</f>
        <v>-255.48925600000001</v>
      </c>
      <c r="C9" s="27">
        <v>1038.4779860000001</v>
      </c>
      <c r="D9" s="2">
        <v>3992.277</v>
      </c>
      <c r="E9" s="5">
        <v>792.92823299999998</v>
      </c>
      <c r="F9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-2.2857034185746826E-2</v>
      </c>
      <c r="G9" s="1"/>
    </row>
    <row r="10" spans="1:17" x14ac:dyDescent="0.25">
      <c r="A10" s="10">
        <v>1996</v>
      </c>
      <c r="B10" s="74">
        <f>'Balanza c 04'!B7</f>
        <v>-380.928786</v>
      </c>
      <c r="C10" s="27">
        <v>1068.2126330000001</v>
      </c>
      <c r="D10" s="2">
        <v>5379.8019999999997</v>
      </c>
      <c r="E10" s="5">
        <v>1032.147324</v>
      </c>
      <c r="F10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-3.2518344478825331E-2</v>
      </c>
      <c r="G10" s="1"/>
      <c r="H10" s="49"/>
    </row>
    <row r="11" spans="1:17" x14ac:dyDescent="0.25">
      <c r="A11" s="10">
        <v>1997</v>
      </c>
      <c r="B11" s="74">
        <f>'Balanza c 04'!B8</f>
        <v>-278.47172</v>
      </c>
      <c r="C11" s="27">
        <v>1133.477727</v>
      </c>
      <c r="D11" s="2">
        <v>3821.105</v>
      </c>
      <c r="E11" s="5">
        <v>969.76201700000001</v>
      </c>
      <c r="F11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-2.2631625086053497E-2</v>
      </c>
      <c r="G11" s="1"/>
    </row>
    <row r="12" spans="1:17" x14ac:dyDescent="0.25">
      <c r="A12" s="10">
        <v>1998</v>
      </c>
      <c r="B12" s="74">
        <f>'Balanza c 04'!B9</f>
        <v>-328.15617500000002</v>
      </c>
      <c r="C12" s="27">
        <v>1185.2250309999999</v>
      </c>
      <c r="D12" s="2">
        <v>3538.69</v>
      </c>
      <c r="E12" s="5">
        <v>942.82702099999995</v>
      </c>
      <c r="F12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-2.5647064610148235E-2</v>
      </c>
      <c r="G12" s="1"/>
    </row>
    <row r="13" spans="1:17" x14ac:dyDescent="0.25">
      <c r="A13" s="10">
        <v>1999</v>
      </c>
      <c r="B13" s="74">
        <f>'Balanza c 04'!B10</f>
        <v>-280.78314</v>
      </c>
      <c r="C13" s="27">
        <v>1221.7329010000001</v>
      </c>
      <c r="D13" s="2">
        <v>3328.6469999999999</v>
      </c>
      <c r="E13" s="5">
        <v>718.368246</v>
      </c>
      <c r="F13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-2.1706069216312521E-2</v>
      </c>
      <c r="G13" s="1"/>
    </row>
    <row r="14" spans="1:17" x14ac:dyDescent="0.25">
      <c r="A14" s="10">
        <v>2000</v>
      </c>
      <c r="B14" s="74">
        <f>'Balanza c 04'!B11</f>
        <v>-276.72846599999997</v>
      </c>
      <c r="C14" s="27">
        <v>1182.814787</v>
      </c>
      <c r="D14" s="2">
        <v>2423.2669999999998</v>
      </c>
      <c r="E14" s="5">
        <v>800.71074399999998</v>
      </c>
      <c r="F14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-2.1912389271127517E-2</v>
      </c>
      <c r="G14" s="1"/>
    </row>
    <row r="15" spans="1:17" x14ac:dyDescent="0.25">
      <c r="A15" s="10">
        <v>2001</v>
      </c>
      <c r="B15" s="74">
        <f>'Balanza c 04'!B12</f>
        <v>-268.28952600000002</v>
      </c>
      <c r="C15" s="27">
        <v>1144.9792580000001</v>
      </c>
      <c r="D15" s="2">
        <v>3458.69</v>
      </c>
      <c r="E15" s="5">
        <v>806.63776399999995</v>
      </c>
      <c r="F15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-2.1889695324816837E-2</v>
      </c>
      <c r="G15" s="1"/>
    </row>
    <row r="16" spans="1:17" x14ac:dyDescent="0.25">
      <c r="A16" s="10">
        <v>2002</v>
      </c>
      <c r="B16" s="74">
        <f>'Balanza c 04'!B13</f>
        <v>-324.959181</v>
      </c>
      <c r="C16" s="27">
        <v>1201.0997769999999</v>
      </c>
      <c r="D16" s="2">
        <v>3495.8850000000002</v>
      </c>
      <c r="E16" s="5">
        <v>914.29077400000006</v>
      </c>
      <c r="F16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-2.514134828741197E-2</v>
      </c>
      <c r="G16" s="1"/>
    </row>
    <row r="17" spans="1:7" x14ac:dyDescent="0.25">
      <c r="A17" s="10">
        <v>2003</v>
      </c>
      <c r="B17" s="74">
        <f>'Balanza c 04'!B14</f>
        <v>-313.10226599999999</v>
      </c>
      <c r="C17" s="27">
        <v>1198.522637</v>
      </c>
      <c r="D17" s="2">
        <v>4221.4390000000003</v>
      </c>
      <c r="E17" s="5">
        <v>964.07554868999978</v>
      </c>
      <c r="F17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-2.4179084553437809E-2</v>
      </c>
      <c r="G17" s="1"/>
    </row>
    <row r="18" spans="1:7" x14ac:dyDescent="0.25">
      <c r="A18" s="10">
        <v>2004</v>
      </c>
      <c r="B18" s="74">
        <f>'Balanza c 04'!B15</f>
        <v>-418.59319699999998</v>
      </c>
      <c r="C18" s="27">
        <v>1414.1092617499999</v>
      </c>
      <c r="D18" s="2">
        <v>2268.058</v>
      </c>
      <c r="E18" s="5">
        <v>1096.5766716700007</v>
      </c>
      <c r="F18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-2.7470946445694974E-2</v>
      </c>
      <c r="G18" s="1"/>
    </row>
    <row r="19" spans="1:7" x14ac:dyDescent="0.25">
      <c r="A19" s="10">
        <v>2005</v>
      </c>
      <c r="B19" s="74">
        <f>'Balanza c 04'!B16</f>
        <v>-418.25931200000002</v>
      </c>
      <c r="C19" s="27">
        <v>1724.6291241099998</v>
      </c>
      <c r="D19" s="2">
        <v>3775.5949999999998</v>
      </c>
      <c r="E19" s="5">
        <v>1034.5303382900004</v>
      </c>
      <c r="F19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-2.2879678037640835E-2</v>
      </c>
      <c r="G19" s="1"/>
    </row>
    <row r="20" spans="1:7" x14ac:dyDescent="0.25">
      <c r="A20" s="10">
        <v>2006</v>
      </c>
      <c r="B20" s="74">
        <f>'Balanza c 04'!B17</f>
        <v>-490.29574199999996</v>
      </c>
      <c r="C20" s="27">
        <v>1872.3784980099981</v>
      </c>
      <c r="D20" s="2">
        <v>3769.5279999999998</v>
      </c>
      <c r="E20" s="5">
        <v>1257.3132665799999</v>
      </c>
      <c r="F20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-2.4537977640016185E-2</v>
      </c>
      <c r="G20" s="1"/>
    </row>
    <row r="21" spans="1:7" x14ac:dyDescent="0.25">
      <c r="A21" s="10">
        <v>2007</v>
      </c>
      <c r="B21" s="74">
        <f>'Balanza c 04'!B18</f>
        <v>-847.97540199999992</v>
      </c>
      <c r="C21" s="26">
        <v>2122.5042788000019</v>
      </c>
      <c r="D21" s="2">
        <v>4219.6670000000004</v>
      </c>
      <c r="E21" s="5">
        <v>1695.4131790200004</v>
      </c>
      <c r="F21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-3.6996445586429075E-2</v>
      </c>
      <c r="G21" s="1"/>
    </row>
    <row r="22" spans="1:7" x14ac:dyDescent="0.25">
      <c r="A22" s="10">
        <v>2008</v>
      </c>
      <c r="B22" s="74">
        <f>'Balanza c 04'!B19</f>
        <v>-1123.919335</v>
      </c>
      <c r="C22" s="26">
        <v>2146.3400352200028</v>
      </c>
      <c r="D22" s="2">
        <v>4908.3850000000002</v>
      </c>
      <c r="E22" s="5">
        <v>2236.8973823599977</v>
      </c>
      <c r="F22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-4.7422161003534101E-2</v>
      </c>
      <c r="G22" s="1"/>
    </row>
    <row r="23" spans="1:7" x14ac:dyDescent="0.25">
      <c r="A23" s="10">
        <v>2009</v>
      </c>
      <c r="B23" s="74">
        <f>'Balanza c 04'!B20</f>
        <v>-417.44365199999999</v>
      </c>
      <c r="C23" s="26">
        <v>2095.9589286500013</v>
      </c>
      <c r="D23" s="2">
        <v>4795.9279999999999</v>
      </c>
      <c r="E23" s="5">
        <v>1750.4526144300014</v>
      </c>
      <c r="F23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-1.8381456706291016E-2</v>
      </c>
      <c r="G23" s="1"/>
    </row>
    <row r="24" spans="1:7" x14ac:dyDescent="0.25">
      <c r="A24" s="10">
        <v>2010</v>
      </c>
      <c r="B24" s="74">
        <f>'Balanza c 04'!B21</f>
        <v>-300.94806999999997</v>
      </c>
      <c r="C24" s="26">
        <v>2166.04730251</v>
      </c>
      <c r="D24" s="2">
        <v>912.50599999999997</v>
      </c>
      <c r="E24" s="5">
        <v>2018.9772672800029</v>
      </c>
      <c r="F24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-1.2709250691383001E-2</v>
      </c>
      <c r="G24" s="1"/>
    </row>
    <row r="25" spans="1:7" x14ac:dyDescent="0.25">
      <c r="A25" s="10">
        <v>2011</v>
      </c>
      <c r="B25" s="74">
        <f>'Balanza c 04'!B22</f>
        <v>-418.64352499999995</v>
      </c>
      <c r="C25" s="26">
        <v>2284.3647235700028</v>
      </c>
      <c r="D25" s="2">
        <v>1611.5440000000001</v>
      </c>
      <c r="E25" s="5">
        <v>2563.9037290099977</v>
      </c>
      <c r="F25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-1.6477130187851536E-2</v>
      </c>
      <c r="G25" s="1"/>
    </row>
    <row r="26" spans="1:7" x14ac:dyDescent="0.25">
      <c r="A26" s="10">
        <v>2012</v>
      </c>
      <c r="B26" s="74">
        <f>'Balanza c 04'!B23</f>
        <v>-266.87277699999999</v>
      </c>
      <c r="C26" s="26">
        <v>2636.1765412600002</v>
      </c>
      <c r="D26" s="2">
        <v>1734.827</v>
      </c>
      <c r="E26" s="5">
        <v>2705.0876101299973</v>
      </c>
      <c r="F26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-9.1813440137915175E-3</v>
      </c>
      <c r="G26" s="1"/>
    </row>
    <row r="27" spans="1:7" x14ac:dyDescent="0.25">
      <c r="A27" s="10">
        <v>2013</v>
      </c>
      <c r="B27" s="74">
        <f>'Balanza c 04'!B24</f>
        <v>-472.46718200000004</v>
      </c>
      <c r="C27" s="26">
        <v>2651.0931387399996</v>
      </c>
      <c r="D27" s="2">
        <v>1652.723</v>
      </c>
      <c r="E27" s="5">
        <v>2581.5323848800022</v>
      </c>
      <c r="F27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-1.6240191470142114E-2</v>
      </c>
      <c r="G27" s="1"/>
    </row>
    <row r="28" spans="1:7" x14ac:dyDescent="0.25">
      <c r="A28" s="10">
        <v>2014</v>
      </c>
      <c r="B28" s="74">
        <f>'Balanza c 04'!B25</f>
        <v>-1186.7286079999999</v>
      </c>
      <c r="C28" s="26">
        <v>2568.3085408999968</v>
      </c>
      <c r="D28" s="2">
        <v>1246.8779999999999</v>
      </c>
      <c r="E28" s="5">
        <v>2532.8550979199972</v>
      </c>
      <c r="F28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-4.2058800333412756E-2</v>
      </c>
      <c r="G28" s="1"/>
    </row>
    <row r="29" spans="1:7" x14ac:dyDescent="0.25">
      <c r="A29" s="11">
        <v>2015</v>
      </c>
      <c r="B29" s="74">
        <f>'Balanza c 04'!B26</f>
        <v>-1264.684698</v>
      </c>
      <c r="C29" s="3">
        <v>2443.4283642899991</v>
      </c>
      <c r="D29" s="2">
        <v>520.46799999999996</v>
      </c>
      <c r="E29" s="5">
        <v>2376.0279714999997</v>
      </c>
      <c r="F29" s="99">
        <f>(Tabla19101113314587[[#This Row],[Total Balanza Comercial de Colombia (US$ millones)]]/10)/(Tabla19101113314587[[#This Row],[Total exportaciones de Colombia hacia el mundo
  (US$ millones FOB)]]+Tabla19101113314587[[#This Row],[Total Importaciones Colombia (US$millones CIF)]]/10)</f>
        <v>-4.7171577719399949E-2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20</v>
      </c>
      <c r="C33" s="29" t="s">
        <v>121</v>
      </c>
      <c r="D33" s="29" t="s">
        <v>159</v>
      </c>
      <c r="E33" s="29" t="s">
        <v>160</v>
      </c>
      <c r="F33" s="29" t="s">
        <v>23</v>
      </c>
      <c r="G33" s="28" t="s">
        <v>24</v>
      </c>
    </row>
    <row r="34" spans="1:17" x14ac:dyDescent="0.25">
      <c r="A34" s="31">
        <v>1991</v>
      </c>
      <c r="B34" s="73">
        <f>'Participación Mundial 04'!C6</f>
        <v>5.6062079999999996</v>
      </c>
      <c r="C34" s="26">
        <v>2823.8</v>
      </c>
      <c r="D34" s="27">
        <v>36.178600000000003</v>
      </c>
      <c r="E34" s="27">
        <v>7.2686346239999997</v>
      </c>
      <c r="F34" s="32">
        <f>((Tabla1910111314324688[[#This Row],[Total exportaciones del grupo
 a USA (US$ millones)]]*1000)/(Tabla1910111314324688[[#This Row],[Total exportaciones
 a USA (US$ miles)]])/((D34/1000)/E34))</f>
        <v>398.87457496712369</v>
      </c>
      <c r="G34" s="98" t="str">
        <f>IF(Tabla1910111314324688[[#This Row],[Indice de Balassa]]&gt;0.33,"VENTAJA","NO VENTAJA")</f>
        <v>VENTAJA</v>
      </c>
    </row>
    <row r="35" spans="1:17" x14ac:dyDescent="0.25">
      <c r="A35" s="31">
        <v>1992</v>
      </c>
      <c r="B35" s="73">
        <f>'Participación Mundial 04'!C7</f>
        <v>6.3740959999999998</v>
      </c>
      <c r="C35" s="26">
        <v>2722.5</v>
      </c>
      <c r="D35" s="27">
        <v>23.648399999999999</v>
      </c>
      <c r="E35" s="27">
        <v>6.9160427520000001</v>
      </c>
      <c r="F35" s="32">
        <f>((Tabla1910111314324688[[#This Row],[Total exportaciones del grupo
 a USA (US$ millones)]]*1000)/(Tabla1910111314324688[[#This Row],[Total exportaciones
 a USA (US$ miles)]])/((D35/1000)/E35))</f>
        <v>684.70991735928885</v>
      </c>
      <c r="G35" s="98" t="str">
        <f>IF(Tabla1910111314324688[[#This Row],[Indice de Balassa]]&gt;0.33,"VENTAJA","NO VENTAJA")</f>
        <v>VENTAJA</v>
      </c>
    </row>
    <row r="36" spans="1:17" x14ac:dyDescent="0.25">
      <c r="A36" s="31">
        <v>1993</v>
      </c>
      <c r="B36" s="73">
        <f>'Participación Mundial 04'!C8</f>
        <v>4.4266730000000001</v>
      </c>
      <c r="C36" s="26">
        <v>2850.21</v>
      </c>
      <c r="D36" s="27">
        <v>12.960751999999999</v>
      </c>
      <c r="E36" s="27">
        <v>7.1234385920000003</v>
      </c>
      <c r="F36" s="32">
        <f>((Tabla1910111314324688[[#This Row],[Total exportaciones del grupo
 a USA (US$ millones)]]*1000)/(Tabla1910111314324688[[#This Row],[Total exportaciones
 a USA (US$ miles)]])/((D36/1000)/E36))</f>
        <v>853.61112465245128</v>
      </c>
      <c r="G36" s="98" t="str">
        <f>IF(Tabla1910111314324688[[#This Row],[Indice de Balassa]]&gt;0.33,"VENTAJA","NO VENTAJA")</f>
        <v>VENTAJA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f>'Participación Mundial 04'!C9</f>
        <v>6.7137019999999996</v>
      </c>
      <c r="C37" s="26">
        <v>3164.92</v>
      </c>
      <c r="D37" s="27">
        <v>20.736339999999998</v>
      </c>
      <c r="E37" s="27">
        <v>8.5375165440000007</v>
      </c>
      <c r="F37" s="32">
        <f>((Tabla1910111314324688[[#This Row],[Total exportaciones del grupo
 a USA (US$ millones)]]*1000)/(Tabla1910111314324688[[#This Row],[Total exportaciones
 a USA (US$ miles)]])/((D37/1000)/E37))</f>
        <v>873.37101921643944</v>
      </c>
      <c r="G37" s="98" t="str">
        <f>IF(Tabla1910111314324688[[#This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>
        <f>'Participación Mundial 04'!C10</f>
        <v>5.6899280000000001</v>
      </c>
      <c r="C38" s="26">
        <v>3627.72</v>
      </c>
      <c r="D38" s="27">
        <v>27.989152000000001</v>
      </c>
      <c r="E38" s="27">
        <v>10.201048064</v>
      </c>
      <c r="F38" s="32">
        <f>((Tabla1910111314324688[[#This Row],[Total exportaciones del grupo
 a USA (US$ millones)]]*1000)/(Tabla1910111314324688[[#This Row],[Total exportaciones
 a USA (US$ miles)]])/((D38/1000)/E38))</f>
        <v>571.64717911873072</v>
      </c>
      <c r="G38" s="98" t="str">
        <f>IF(Tabla1910111314324688[[#This Row],[Indice de Balassa]]&gt;0.33,"VENTAJA","NO VENTAJA")</f>
        <v>VENTAJA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f>'Participación Mundial 04'!C11</f>
        <v>3.9406219999999998</v>
      </c>
      <c r="C39" s="26">
        <v>4282.93</v>
      </c>
      <c r="D39" s="27">
        <v>33.025044000000001</v>
      </c>
      <c r="E39" s="27">
        <v>10.647555071999999</v>
      </c>
      <c r="F39" s="32">
        <f>((Tabla1910111314324688[[#This Row],[Total exportaciones del grupo
 a USA (US$ millones)]]*1000)/(Tabla1910111314324688[[#This Row],[Total exportaciones
 a USA (US$ miles)]])/((D39/1000)/E39))</f>
        <v>296.64039542848224</v>
      </c>
      <c r="G39" s="98" t="str">
        <f>IF(Tabla1910111314324688[[#This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>
        <f>'Participación Mundial 04'!C12</f>
        <v>3.3122159999999998</v>
      </c>
      <c r="C40" s="26">
        <v>4379.28</v>
      </c>
      <c r="D40" s="27">
        <v>37.762287999999998</v>
      </c>
      <c r="E40" s="27">
        <v>11.549019136</v>
      </c>
      <c r="F40" s="32">
        <f>((Tabla1910111314324688[[#This Row],[Total exportaciones del grupo
 a USA (US$ millones)]]*1000)/(Tabla1910111314324688[[#This Row],[Total exportaciones
 a USA (US$ miles)]])/((D40/1000)/E40))</f>
        <v>231.31443626001823</v>
      </c>
      <c r="G40" s="98" t="str">
        <f>IF(Tabla1910111314324688[[#This Row],[Indice de Balassa]]&gt;0.33,"VENTAJA","NO VENTAJA")</f>
        <v>VENTAJA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>
        <f>'Participación Mundial 04'!C13</f>
        <v>3.9153449999999999</v>
      </c>
      <c r="C41" s="26">
        <v>4139.68</v>
      </c>
      <c r="D41" s="27">
        <v>43.173304000000002</v>
      </c>
      <c r="E41" s="27">
        <v>10.8212224</v>
      </c>
      <c r="F41" s="32">
        <f>((Tabla1910111314324688[[#This Row],[Total exportaciones del grupo
 a USA (US$ millones)]]*1000)/(Tabla1910111314324688[[#This Row],[Total exportaciones
 a USA (US$ miles)]])/((D41/1000)/E41))</f>
        <v>237.06328687643813</v>
      </c>
      <c r="G41" s="98" t="str">
        <f>IF(Tabla1910111314324688[[#This Row],[Indice de Balassa]]&gt;0.33,"VENTAJA","NO VENTAJA")</f>
        <v>VENTAJA</v>
      </c>
      <c r="M41" t="s">
        <v>101</v>
      </c>
    </row>
    <row r="42" spans="1:17" x14ac:dyDescent="0.25">
      <c r="A42" s="31">
        <v>1999</v>
      </c>
      <c r="B42" s="73">
        <f>'Participación Mundial 04'!C14</f>
        <v>5.3999639999999998</v>
      </c>
      <c r="C42" s="26">
        <v>5817.43</v>
      </c>
      <c r="D42" s="27">
        <v>37.553800000000003</v>
      </c>
      <c r="E42" s="27">
        <v>11.617030143999999</v>
      </c>
      <c r="F42" s="32">
        <f>((Tabla1910111314324688[[#This Row],[Total exportaciones del grupo
 a USA (US$ millones)]]*1000)/(Tabla1910111314324688[[#This Row],[Total exportaciones
 a USA (US$ miles)]])/((D42/1000)/E42))</f>
        <v>287.1447799318567</v>
      </c>
      <c r="G42" s="98" t="str">
        <f>IF(Tabla1910111314324688[[#This Row],[Indice de Balassa]]&gt;0.33,"VENTAJA","NO VENTAJA")</f>
        <v>VENTAJA</v>
      </c>
    </row>
    <row r="43" spans="1:17" x14ac:dyDescent="0.25">
      <c r="A43" s="31">
        <v>2000</v>
      </c>
      <c r="B43" s="73">
        <f>'Participación Mundial 04'!C15</f>
        <v>5.3925090000000004</v>
      </c>
      <c r="C43" s="26">
        <v>6632.13</v>
      </c>
      <c r="D43" s="27">
        <v>43.388049000000002</v>
      </c>
      <c r="E43" s="27">
        <v>13.158400846999999</v>
      </c>
      <c r="F43" s="32">
        <f>((Tabla1910111314324688[[#This Row],[Total exportaciones del grupo
 a USA (US$ millones)]]*1000)/(Tabla1910111314324688[[#This Row],[Total exportaciones
 a USA (US$ miles)]])/((D43/1000)/E43))</f>
        <v>246.58737557492213</v>
      </c>
      <c r="G43" s="98" t="str">
        <f>IF(Tabla1910111314324688[[#This Row],[Indice de Balassa]]&gt;0.33,"VENTAJA","NO VENTAJA")</f>
        <v>VENTAJA</v>
      </c>
    </row>
    <row r="44" spans="1:17" x14ac:dyDescent="0.25">
      <c r="A44" s="31">
        <v>2001</v>
      </c>
      <c r="B44" s="73">
        <f>'Participación Mundial 04'!C16</f>
        <v>10.118449999999999</v>
      </c>
      <c r="C44" s="26">
        <v>5344.53</v>
      </c>
      <c r="D44" s="27">
        <v>50.033448999999997</v>
      </c>
      <c r="E44" s="27">
        <v>12.301486486</v>
      </c>
      <c r="F44" s="32">
        <f>((Tabla1910111314324688[[#This Row],[Total exportaciones del grupo
 a USA (US$ millones)]]*1000)/(Tabla1910111314324688[[#This Row],[Total exportaciones
 a USA (US$ miles)]])/((D44/1000)/E44))</f>
        <v>465.48064035578972</v>
      </c>
      <c r="G44" s="98" t="str">
        <f>IF(Tabla1910111314324688[[#This Row],[Indice de Balassa]]&gt;0.33,"VENTAJA","NO VENTAJA")</f>
        <v>VENTAJA</v>
      </c>
    </row>
    <row r="45" spans="1:17" x14ac:dyDescent="0.25">
      <c r="A45" s="31">
        <v>2002</v>
      </c>
      <c r="B45" s="73">
        <f>'Participación Mundial 04'!C17</f>
        <v>13.404857</v>
      </c>
      <c r="C45" s="26">
        <v>5328.47</v>
      </c>
      <c r="D45" s="27">
        <v>50.552953000000002</v>
      </c>
      <c r="E45" s="27">
        <v>11.897488381000001</v>
      </c>
      <c r="F45" s="32">
        <f>((Tabla1910111314324688[[#This Row],[Total exportaciones del grupo
 a USA (US$ millones)]]*1000)/(Tabla1910111314324688[[#This Row],[Total exportaciones
 a USA (US$ miles)]])/((D45/1000)/E45))</f>
        <v>592.06367998618816</v>
      </c>
      <c r="G45" s="98" t="str">
        <f>IF(Tabla1910111314324688[[#This Row],[Indice de Balassa]]&gt;0.33,"VENTAJA","NO VENTAJA")</f>
        <v>VENTAJA</v>
      </c>
    </row>
    <row r="46" spans="1:17" x14ac:dyDescent="0.25">
      <c r="A46" s="31">
        <v>2003</v>
      </c>
      <c r="B46" s="73">
        <f>'Participación Mundial 04'!C18</f>
        <v>12.726922999999999</v>
      </c>
      <c r="C46" s="26">
        <v>6160.2</v>
      </c>
      <c r="D46" s="27">
        <v>69.697941</v>
      </c>
      <c r="E46" s="27">
        <v>13.092218068999999</v>
      </c>
      <c r="F46" s="32">
        <f>((Tabla1910111314324688[[#This Row],[Total exportaciones del grupo
 a USA (US$ millones)]]*1000)/(Tabla1910111314324688[[#This Row],[Total exportaciones
 a USA (US$ miles)]])/((D46/1000)/E46))</f>
        <v>388.08055808911377</v>
      </c>
      <c r="G46" s="98" t="str">
        <f>IF(Tabla1910111314324688[[#This Row],[Indice de Balassa]]&gt;0.33,"VENTAJA","NO VENTAJA")</f>
        <v>VENTAJA</v>
      </c>
    </row>
    <row r="47" spans="1:17" x14ac:dyDescent="0.25">
      <c r="A47" s="31">
        <v>2004</v>
      </c>
      <c r="B47" s="73">
        <f>'Participación Mundial 04'!C19</f>
        <v>14.544615</v>
      </c>
      <c r="C47" s="26">
        <v>7042.2</v>
      </c>
      <c r="D47" s="27">
        <v>67.773218</v>
      </c>
      <c r="E47" s="27">
        <v>16.729677706</v>
      </c>
      <c r="F47" s="32">
        <f>((Tabla1910111314324688[[#This Row],[Total exportaciones del grupo
 a USA (US$ millones)]]*1000)/(Tabla1910111314324688[[#This Row],[Total exportaciones
 a USA (US$ miles)]])/((D47/1000)/E47))</f>
        <v>509.82759924294214</v>
      </c>
      <c r="G47" s="98" t="str">
        <f>IF(Tabla1910111314324688[[#This Row],[Indice de Balassa]]&gt;0.33,"VENTAJA","NO VENTAJA")</f>
        <v>VENTAJA</v>
      </c>
    </row>
    <row r="48" spans="1:17" x14ac:dyDescent="0.25">
      <c r="A48" s="31">
        <v>2005</v>
      </c>
      <c r="B48" s="73">
        <f>'Participación Mundial 04'!C20</f>
        <v>18.657104</v>
      </c>
      <c r="C48" s="26">
        <v>8851.6299999999992</v>
      </c>
      <c r="D48" s="27">
        <v>81.217472999999998</v>
      </c>
      <c r="E48" s="27">
        <v>21.190438735000001</v>
      </c>
      <c r="F48" s="32">
        <f>((Tabla1910111314324688[[#This Row],[Total exportaciones del grupo
 a USA (US$ millones)]]*1000)/(Tabla1910111314324688[[#This Row],[Total exportaciones
 a USA (US$ miles)]])/((D48/1000)/E48))</f>
        <v>549.93512094584003</v>
      </c>
      <c r="G48" s="98" t="str">
        <f>IF(Tabla1910111314324688[[#This Row],[Indice de Balassa]]&gt;0.33,"VENTAJA","NO VENTAJA")</f>
        <v>VENTAJA</v>
      </c>
    </row>
    <row r="49" spans="1:25" x14ac:dyDescent="0.25">
      <c r="A49" s="31">
        <v>2006</v>
      </c>
      <c r="B49" s="73">
        <f>'Participación Mundial 04'!C21</f>
        <v>22.610883000000001</v>
      </c>
      <c r="C49" s="26">
        <v>9948.23</v>
      </c>
      <c r="D49" s="27">
        <v>94.804457999999997</v>
      </c>
      <c r="E49" s="27">
        <v>24.390975102999999</v>
      </c>
      <c r="F49" s="32">
        <f>((Tabla1910111314324688[[#This Row],[Total exportaciones del grupo
 a USA (US$ millones)]]*1000)/(Tabla1910111314324688[[#This Row],[Total exportaciones
 a USA (US$ miles)]])/((D49/1000)/E49))</f>
        <v>584.75252860593332</v>
      </c>
      <c r="G49" s="98" t="str">
        <f>IF(Tabla1910111314324688[[#This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f>'Participación Mundial 04'!C22</f>
        <v>20.268450000000001</v>
      </c>
      <c r="C50" s="26">
        <v>10609.17</v>
      </c>
      <c r="D50" s="26">
        <v>110.705168</v>
      </c>
      <c r="E50" s="26">
        <v>29.991332</v>
      </c>
      <c r="F50" s="32">
        <f>((Tabla1910111314324688[[#This Row],[Total exportaciones del grupo
 a USA (US$ millones)]]*1000)/(Tabla1910111314324688[[#This Row],[Total exportaciones
 a USA (US$ miles)]])/((D50/1000)/E50))</f>
        <v>517.56748921476492</v>
      </c>
      <c r="G50" s="98" t="str">
        <f>IF(Tabla1910111314324688[[#This Row],[Indice de Balassa]]&gt;0.33,"VENTAJA","NO VENTAJA")</f>
        <v>VENTAJA</v>
      </c>
    </row>
    <row r="51" spans="1:25" x14ac:dyDescent="0.25">
      <c r="A51" s="31">
        <v>2008</v>
      </c>
      <c r="B51" s="73">
        <f>'Participación Mundial 04'!C23</f>
        <v>22.317267999999999</v>
      </c>
      <c r="C51" s="26">
        <v>14288.83</v>
      </c>
      <c r="D51" s="26">
        <v>137.881989</v>
      </c>
      <c r="E51" s="26">
        <v>37.625882064999999</v>
      </c>
      <c r="F51" s="32">
        <f>((Tabla1910111314324688[[#This Row],[Total exportaciones del grupo
 a USA (US$ millones)]]*1000)/(Tabla1910111314324688[[#This Row],[Total exportaciones
 a USA (US$ miles)]])/((D51/1000)/E51))</f>
        <v>426.20987687458125</v>
      </c>
      <c r="G51" s="98" t="str">
        <f>IF(Tabla1910111314324688[[#This Row],[Indice de Balassa]]&gt;0.33,"VENTAJA","NO VENTAJA")</f>
        <v>VENTAJA</v>
      </c>
    </row>
    <row r="52" spans="1:25" x14ac:dyDescent="0.25">
      <c r="A52" s="31">
        <v>2009</v>
      </c>
      <c r="B52" s="73">
        <f>'Participación Mundial 04'!C24</f>
        <v>26.024861000000001</v>
      </c>
      <c r="C52" s="26">
        <v>13123.47</v>
      </c>
      <c r="D52" s="26">
        <v>109.78551299999999</v>
      </c>
      <c r="E52" s="26">
        <v>32.852985836999999</v>
      </c>
      <c r="F52" s="32">
        <f>((Tabla1910111314324688[[#This Row],[Total exportaciones del grupo
 a USA (US$ millones)]]*1000)/(Tabla1910111314324688[[#This Row],[Total exportaciones
 a USA (US$ miles)]])/((D52/1000)/E52))</f>
        <v>593.43006698637691</v>
      </c>
      <c r="G52" s="98" t="str">
        <f>IF(Tabla1910111314324688[[#This Row],[Indice de Balassa]]&gt;0.33,"VENTAJA","NO VENTAJA")</f>
        <v>VENTAJA</v>
      </c>
    </row>
    <row r="53" spans="1:25" x14ac:dyDescent="0.25">
      <c r="A53" s="31">
        <v>2010</v>
      </c>
      <c r="B53" s="73">
        <f>'Participación Mundial 04'!C25</f>
        <v>24.027443999999999</v>
      </c>
      <c r="C53" s="26">
        <v>17143.28</v>
      </c>
      <c r="D53" s="26">
        <v>108.379007</v>
      </c>
      <c r="E53" s="26">
        <v>39.819528642000002</v>
      </c>
      <c r="F53" s="32">
        <f>((Tabla1910111314324688[[#This Row],[Total exportaciones del grupo
 a USA (US$ millones)]]*1000)/(Tabla1910111314324688[[#This Row],[Total exportaciones
 a USA (US$ miles)]])/((D53/1000)/E53))</f>
        <v>514.94945458096197</v>
      </c>
      <c r="G53" s="98" t="str">
        <f>IF(Tabla1910111314324688[[#This Row],[Indice de Balassa]]&gt;0.33,"VENTAJA","NO VENTAJA")</f>
        <v>VENTAJA</v>
      </c>
    </row>
    <row r="54" spans="1:25" x14ac:dyDescent="0.25">
      <c r="A54" s="31">
        <v>2011</v>
      </c>
      <c r="B54" s="73">
        <f>'Participación Mundial 04'!C26</f>
        <v>21.289726999999999</v>
      </c>
      <c r="C54" s="26">
        <v>21948.53</v>
      </c>
      <c r="D54" s="26">
        <v>97.455635999999998</v>
      </c>
      <c r="E54" s="26">
        <v>56.953516086</v>
      </c>
      <c r="F54" s="32">
        <f>((Tabla1910111314324688[[#This Row],[Total exportaciones del grupo
 a USA (US$ millones)]]*1000)/(Tabla1910111314324688[[#This Row],[Total exportaciones
 a USA (US$ miles)]])/((D54/1000)/E54))</f>
        <v>566.86316146031857</v>
      </c>
      <c r="G54" s="98" t="str">
        <f>IF(Tabla1910111314324688[[#This Row],[Indice de Balassa]]&gt;0.33,"VENTAJA","NO VENTAJA")</f>
        <v>VENTAJA</v>
      </c>
    </row>
    <row r="55" spans="1:25" x14ac:dyDescent="0.25">
      <c r="A55" s="31">
        <v>2012</v>
      </c>
      <c r="B55" s="73">
        <f>'Participación Mundial 04'!C27</f>
        <v>22.689461000000001</v>
      </c>
      <c r="C55" s="26">
        <v>22216.240000000002</v>
      </c>
      <c r="D55" s="26">
        <v>111.970725</v>
      </c>
      <c r="E55" s="26">
        <v>60.273618167999999</v>
      </c>
      <c r="F55" s="32">
        <f>((Tabla1910111314324688[[#This Row],[Total exportaciones del grupo
 a USA (US$ millones)]]*1000)/(Tabla1910111314324688[[#This Row],[Total exportaciones
 a USA (US$ miles)]])/((D55/1000)/E55))</f>
        <v>549.76412066076853</v>
      </c>
      <c r="G55" s="98" t="str">
        <f>IF(Tabla1910111314324688[[#This Row],[Indice de Balassa]]&gt;0.33,"VENTAJA","NO VENTAJA")</f>
        <v>VENTAJA</v>
      </c>
    </row>
    <row r="56" spans="1:25" x14ac:dyDescent="0.25">
      <c r="A56" s="31">
        <v>2013</v>
      </c>
      <c r="B56" s="73">
        <f>'Participación Mundial 04'!C28</f>
        <v>24.470265000000001</v>
      </c>
      <c r="C56" s="26">
        <v>18692.900000000001</v>
      </c>
      <c r="D56" s="26">
        <v>124.834068</v>
      </c>
      <c r="E56" s="26">
        <v>58.821869986999999</v>
      </c>
      <c r="F56" s="32">
        <f>((Tabla1910111314324688[[#This Row],[Total exportaciones del grupo
 a USA (US$ millones)]]*1000)/(Tabla1910111314324688[[#This Row],[Total exportaciones
 a USA (US$ miles)]])/((D56/1000)/E56))</f>
        <v>616.83313288866452</v>
      </c>
      <c r="G56" s="98" t="str">
        <f>IF(Tabla1910111314324688[[#This Row],[Indice de Balassa]]&gt;0.33,"VENTAJA","NO VENTAJA")</f>
        <v>VENTAJA</v>
      </c>
    </row>
    <row r="57" spans="1:25" x14ac:dyDescent="0.25">
      <c r="A57" s="31">
        <v>2014</v>
      </c>
      <c r="B57" s="73">
        <f>'Participación Mundial 04'!C29</f>
        <v>31.726458000000001</v>
      </c>
      <c r="C57" s="26">
        <v>14470.7</v>
      </c>
      <c r="D57" s="26">
        <v>201.60291599999999</v>
      </c>
      <c r="E57" s="26">
        <v>54.794812014999998</v>
      </c>
      <c r="F57" s="32">
        <f>((Tabla1910111314324688[[#This Row],[Total exportaciones del grupo
 a USA (US$ millones)]]*1000)/(Tabla1910111314324688[[#This Row],[Total exportaciones
 a USA (US$ miles)]])/((D57/1000)/E57))</f>
        <v>595.90177794885085</v>
      </c>
      <c r="G57" s="98" t="str">
        <f>IF(Tabla1910111314324688[[#This Row],[Indice de Balassa]]&gt;0.33,"VENTAJA","NO VENTAJA")</f>
        <v>VENTAJA</v>
      </c>
    </row>
    <row r="58" spans="1:25" x14ac:dyDescent="0.25">
      <c r="A58" s="31">
        <v>2015</v>
      </c>
      <c r="B58" s="73">
        <f>'Participación Mundial 04'!C30</f>
        <v>30.804566999999999</v>
      </c>
      <c r="C58" s="3">
        <v>14074</v>
      </c>
      <c r="D58" s="3">
        <v>137.81728100000001</v>
      </c>
      <c r="E58" s="3">
        <v>35.690766592999999</v>
      </c>
      <c r="F58" s="32">
        <f>((Tabla1910111314324688[[#This Row],[Total exportaciones del grupo
 a USA (US$ millones)]]*1000)/(Tabla1910111314324688[[#This Row],[Total exportaciones
 a USA (US$ miles)]])/((D58/1000)/E58))</f>
        <v>566.8259969958649</v>
      </c>
      <c r="G58" s="98" t="str">
        <f>IF(Tabla1910111314324688[[#This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28" t="s">
        <v>24</v>
      </c>
    </row>
    <row r="63" spans="1:25" x14ac:dyDescent="0.25">
      <c r="A63" s="31">
        <v>1991</v>
      </c>
      <c r="B63" s="73">
        <f>'Balanza c 04'!B2</f>
        <v>-51.428851999999999</v>
      </c>
      <c r="C63" s="84">
        <f>'Apertura 04'!B125</f>
        <v>62.641268000000004</v>
      </c>
      <c r="D63" s="32">
        <f>1-(Tabla191011131412334789[[#This Row],[Balanza Comercial Colombia 
( US$ millones)]]/Tabla191011131412334789[[#This Row],[Balanza Comercial Absoluta Colombia 
(US$ millones)]])</f>
        <v>1.8210059221661987</v>
      </c>
      <c r="E63" s="2" t="str">
        <f t="shared" ref="E63:E87" si="0">IF(D63&gt;0.1&lt;0.33,"POTENCIAL CMRCIO INT",IF(D63&gt;0.33,"INDICIOS DE CMRCIO INT",IF(D63&lt;0.1,"REL. INTERINDUSTRIALES")))</f>
        <v>INDICIOS DE CMRCIO INT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>
        <f>'Balanza c 04'!B3</f>
        <v>-97.305328000000003</v>
      </c>
      <c r="C64" s="84">
        <f>'Apertura 04'!B126</f>
        <v>110.05351999999999</v>
      </c>
      <c r="D64" s="32">
        <f>1-(Tabla191011131412334789[[#This Row],[Balanza Comercial Colombia 
( US$ millones)]]/Tabla191011131412334789[[#This Row],[Balanza Comercial Absoluta Colombia 
(US$ millones)]])</f>
        <v>1.8841637050773117</v>
      </c>
      <c r="E64" s="2" t="str">
        <f t="shared" si="0"/>
        <v>INDICIOS DE CMRCIO INT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>
        <f>'Balanza c 04'!B4</f>
        <v>-98.001287000000005</v>
      </c>
      <c r="C65" s="84">
        <f>'Apertura 04'!B127</f>
        <v>106.85463299999999</v>
      </c>
      <c r="D65" s="32">
        <f>1-(Tabla191011131412334789[[#This Row],[Balanza Comercial Colombia 
( US$ millones)]]/Tabla191011131412334789[[#This Row],[Balanza Comercial Absoluta Colombia 
(US$ millones)]])</f>
        <v>1.9171458854760188</v>
      </c>
      <c r="E65" s="2" t="str">
        <f t="shared" si="0"/>
        <v>INDICIOS DE CMRCIO INT</v>
      </c>
      <c r="K65" s="49"/>
      <c r="M65" s="49"/>
      <c r="O65" s="49"/>
    </row>
    <row r="66" spans="1:15" x14ac:dyDescent="0.25">
      <c r="A66" s="31">
        <v>1994</v>
      </c>
      <c r="B66" s="73">
        <f>'Balanza c 04'!B5</f>
        <v>-119.58583400000001</v>
      </c>
      <c r="C66" s="84">
        <f>'Apertura 04'!B128</f>
        <v>133.013238</v>
      </c>
      <c r="D66" s="32">
        <f>1-(Tabla191011131412334789[[#This Row],[Balanza Comercial Colombia 
( US$ millones)]]/Tabla191011131412334789[[#This Row],[Balanza Comercial Absoluta Colombia 
(US$ millones)]])</f>
        <v>1.8990521229172694</v>
      </c>
      <c r="E66" s="2" t="str">
        <f t="shared" si="0"/>
        <v>INDICIOS DE CMRCIO INT</v>
      </c>
      <c r="K66" s="49"/>
      <c r="M66" s="52" t="s">
        <v>136</v>
      </c>
      <c r="O66" s="49"/>
    </row>
    <row r="67" spans="1:15" x14ac:dyDescent="0.25">
      <c r="A67" s="31">
        <v>1995</v>
      </c>
      <c r="B67" s="73">
        <f>'Balanza c 04'!B6</f>
        <v>-255.48925600000001</v>
      </c>
      <c r="C67" s="84">
        <f>'Apertura 04'!B129</f>
        <v>266.86911200000003</v>
      </c>
      <c r="D67" s="32">
        <f>1-(Tabla191011131412334789[[#This Row],[Balanza Comercial Colombia 
( US$ millones)]]/Tabla191011131412334789[[#This Row],[Balanza Comercial Absoluta Colombia 
(US$ millones)]])</f>
        <v>1.9573579125934963</v>
      </c>
      <c r="E67" s="2" t="str">
        <f t="shared" si="0"/>
        <v>INDICIOS DE CMRCIO INT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04'!B7</f>
        <v>-380.928786</v>
      </c>
      <c r="C68" s="84">
        <f>'Apertura 04'!B130</f>
        <v>388.81003000000004</v>
      </c>
      <c r="D68" s="32">
        <f>1-(Tabla191011131412334789[[#This Row],[Balanza Comercial Colombia 
( US$ millones)]]/Tabla191011131412334789[[#This Row],[Balanza Comercial Absoluta Colombia 
(US$ millones)]])</f>
        <v>1.9797298336156604</v>
      </c>
      <c r="E68" s="2" t="str">
        <f t="shared" si="0"/>
        <v>INDICIOS DE CMRCIO INT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>
        <f>'Balanza c 04'!B8</f>
        <v>-278.47172</v>
      </c>
      <c r="C69" s="84">
        <f>'Apertura 04'!B131</f>
        <v>285.09615199999996</v>
      </c>
      <c r="D69" s="32">
        <f>1-(Tabla191011131412334789[[#This Row],[Balanza Comercial Colombia 
( US$ millones)]]/Tabla191011131412334789[[#This Row],[Balanza Comercial Absoluta Colombia 
(US$ millones)]])</f>
        <v>1.9767642181294682</v>
      </c>
      <c r="E69" s="2" t="str">
        <f t="shared" si="0"/>
        <v>INDICIOS DE CMRCIO INT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>
        <f>'Balanza c 04'!B9</f>
        <v>-328.15617500000002</v>
      </c>
      <c r="C70" s="84">
        <f>'Apertura 04'!B132</f>
        <v>335.98686500000002</v>
      </c>
      <c r="D70" s="32">
        <f>1-(Tabla191011131412334789[[#This Row],[Balanza Comercial Colombia 
( US$ millones)]]/Tabla191011131412334789[[#This Row],[Balanza Comercial Absoluta Colombia 
(US$ millones)]])</f>
        <v>1.9766934638947866</v>
      </c>
      <c r="E70" s="2" t="str">
        <f t="shared" si="0"/>
        <v>INDICIOS DE CMRCIO INT</v>
      </c>
    </row>
    <row r="71" spans="1:15" x14ac:dyDescent="0.25">
      <c r="A71" s="31">
        <v>1999</v>
      </c>
      <c r="B71" s="73">
        <f>'Balanza c 04'!B10</f>
        <v>-280.78314</v>
      </c>
      <c r="C71" s="84">
        <f>'Apertura 04'!B133</f>
        <v>291.58306800000003</v>
      </c>
      <c r="D71" s="32">
        <f>1-(Tabla191011131412334789[[#This Row],[Balanza Comercial Colombia 
( US$ millones)]]/Tabla191011131412334789[[#This Row],[Balanza Comercial Absoluta Colombia 
(US$ millones)]])</f>
        <v>1.9629610591791975</v>
      </c>
      <c r="E71" s="2" t="str">
        <f t="shared" si="0"/>
        <v>INDICIOS DE CMRCIO INT</v>
      </c>
    </row>
    <row r="72" spans="1:15" x14ac:dyDescent="0.25">
      <c r="A72" s="31">
        <v>2000</v>
      </c>
      <c r="B72" s="73">
        <f>'Balanza c 04'!B11</f>
        <v>-276.72846599999997</v>
      </c>
      <c r="C72" s="84">
        <f>'Apertura 04'!B134</f>
        <v>287.51348400000001</v>
      </c>
      <c r="D72" s="32">
        <f>1-(Tabla191011131412334789[[#This Row],[Balanza Comercial Colombia 
( US$ millones)]]/Tabla191011131412334789[[#This Row],[Balanza Comercial Absoluta Colombia 
(US$ millones)]])</f>
        <v>1.9624886532278256</v>
      </c>
      <c r="E72" s="2" t="str">
        <f t="shared" si="0"/>
        <v>INDICIOS DE CMRCIO INT</v>
      </c>
    </row>
    <row r="73" spans="1:15" x14ac:dyDescent="0.25">
      <c r="A73" s="31">
        <v>2001</v>
      </c>
      <c r="B73" s="73">
        <f>'Balanza c 04'!B12</f>
        <v>-268.28952600000002</v>
      </c>
      <c r="C73" s="84">
        <f>'Apertura 04'!B135</f>
        <v>288.52642600000001</v>
      </c>
      <c r="D73" s="32">
        <f>1-(Tabla191011131412334789[[#This Row],[Balanza Comercial Colombia 
( US$ millones)]]/Tabla191011131412334789[[#This Row],[Balanza Comercial Absoluta Colombia 
(US$ millones)]])</f>
        <v>1.9298611906002676</v>
      </c>
      <c r="E73" s="2" t="str">
        <f t="shared" si="0"/>
        <v>INDICIOS DE CMRCIO INT</v>
      </c>
    </row>
    <row r="74" spans="1:15" x14ac:dyDescent="0.25">
      <c r="A74" s="31">
        <v>2002</v>
      </c>
      <c r="B74" s="73">
        <f>'Balanza c 04'!B13</f>
        <v>-324.959181</v>
      </c>
      <c r="C74" s="84">
        <f>'Apertura 04'!B136</f>
        <v>351.76889499999999</v>
      </c>
      <c r="D74" s="32">
        <f>1-(Tabla191011131412334789[[#This Row],[Balanza Comercial Colombia 
( US$ millones)]]/Tabla191011131412334789[[#This Row],[Balanza Comercial Absoluta Colombia 
(US$ millones)]])</f>
        <v>1.9237860016019894</v>
      </c>
      <c r="E74" s="2" t="str">
        <f t="shared" si="0"/>
        <v>INDICIOS DE CMRCIO INT</v>
      </c>
    </row>
    <row r="75" spans="1:15" x14ac:dyDescent="0.25">
      <c r="A75" s="31">
        <v>2003</v>
      </c>
      <c r="B75" s="73">
        <f>'Balanza c 04'!B14</f>
        <v>-313.10226599999999</v>
      </c>
      <c r="C75" s="84">
        <f>'Apertura 04'!B137</f>
        <v>338.55611199999998</v>
      </c>
      <c r="D75" s="32">
        <f>1-(Tabla191011131412334789[[#This Row],[Balanza Comercial Colombia 
( US$ millones)]]/Tabla191011131412334789[[#This Row],[Balanza Comercial Absoluta Colombia 
(US$ millones)]])</f>
        <v>1.9248164629206279</v>
      </c>
      <c r="E75" s="2" t="str">
        <f t="shared" si="0"/>
        <v>INDICIOS DE CMRCIO INT</v>
      </c>
    </row>
    <row r="76" spans="1:15" x14ac:dyDescent="0.25">
      <c r="A76" s="31">
        <v>2004</v>
      </c>
      <c r="B76" s="73">
        <f>'Balanza c 04'!B15</f>
        <v>-418.59319699999998</v>
      </c>
      <c r="C76" s="84">
        <f>'Apertura 04'!B138</f>
        <v>447.68242700000002</v>
      </c>
      <c r="D76" s="32">
        <f>1-(Tabla191011131412334789[[#This Row],[Balanza Comercial Colombia 
( US$ millones)]]/Tabla191011131412334789[[#This Row],[Balanza Comercial Absoluta Colombia 
(US$ millones)]])</f>
        <v>1.9350226226324492</v>
      </c>
      <c r="E76" s="2" t="str">
        <f t="shared" si="0"/>
        <v>INDICIOS DE CMRCIO INT</v>
      </c>
    </row>
    <row r="77" spans="1:15" x14ac:dyDescent="0.25">
      <c r="A77" s="31">
        <v>2005</v>
      </c>
      <c r="B77" s="73">
        <f>'Balanza c 04'!B16</f>
        <v>-418.25931200000002</v>
      </c>
      <c r="C77" s="84">
        <f>'Apertura 04'!B139</f>
        <v>455.57352000000003</v>
      </c>
      <c r="D77" s="32">
        <f>1-(Tabla191011131412334789[[#This Row],[Balanza Comercial Colombia 
( US$ millones)]]/Tabla191011131412334789[[#This Row],[Balanza Comercial Absoluta Colombia 
(US$ millones)]])</f>
        <v>1.9180939928203027</v>
      </c>
      <c r="E77" s="2" t="str">
        <f t="shared" si="0"/>
        <v>INDICIOS DE CMRCIO INT</v>
      </c>
    </row>
    <row r="78" spans="1:15" x14ac:dyDescent="0.25">
      <c r="A78" s="31">
        <v>2006</v>
      </c>
      <c r="B78" s="73">
        <f>'Balanza c 04'!B17</f>
        <v>-490.29574199999996</v>
      </c>
      <c r="C78" s="84">
        <f>'Apertura 04'!B140</f>
        <v>535.51750799999991</v>
      </c>
      <c r="D78" s="32">
        <f>1-(Tabla191011131412334789[[#This Row],[Balanza Comercial Colombia 
( US$ millones)]]/Tabla191011131412334789[[#This Row],[Balanza Comercial Absoluta Colombia 
(US$ millones)]])</f>
        <v>1.9155550186045458</v>
      </c>
      <c r="E78" s="2" t="str">
        <f t="shared" si="0"/>
        <v>INDICIOS DE CMRCIO INT</v>
      </c>
    </row>
    <row r="79" spans="1:15" x14ac:dyDescent="0.25">
      <c r="A79" s="31">
        <v>2007</v>
      </c>
      <c r="B79" s="73">
        <f>'Balanza c 04'!B18</f>
        <v>-847.97540199999992</v>
      </c>
      <c r="C79" s="84">
        <f>'Apertura 04'!B141</f>
        <v>888.51230199999998</v>
      </c>
      <c r="D79" s="32">
        <f>1-(Tabla191011131412334789[[#This Row],[Balanza Comercial Colombia 
( US$ millones)]]/Tabla191011131412334789[[#This Row],[Balanza Comercial Absoluta Colombia 
(US$ millones)]])</f>
        <v>1.9543766587038207</v>
      </c>
      <c r="E79" s="2" t="str">
        <f t="shared" si="0"/>
        <v>INDICIOS DE CMRCIO INT</v>
      </c>
    </row>
    <row r="80" spans="1:15" x14ac:dyDescent="0.25">
      <c r="A80" s="31">
        <v>2008</v>
      </c>
      <c r="B80" s="73">
        <f>'Balanza c 04'!B19</f>
        <v>-1123.919335</v>
      </c>
      <c r="C80" s="84">
        <f>'Apertura 04'!B142</f>
        <v>1168.5538710000001</v>
      </c>
      <c r="D80" s="32">
        <f>1-(Tabla191011131412334789[[#This Row],[Balanza Comercial Colombia 
( US$ millones)]]/Tabla191011131412334789[[#This Row],[Balanza Comercial Absoluta Colombia 
(US$ millones)]])</f>
        <v>1.961803612903354</v>
      </c>
      <c r="E80" s="2" t="str">
        <f t="shared" si="0"/>
        <v>INDICIOS DE CMRCIO INT</v>
      </c>
    </row>
    <row r="81" spans="1:5" x14ac:dyDescent="0.25">
      <c r="A81" s="31">
        <v>2009</v>
      </c>
      <c r="B81" s="73">
        <f>'Balanza c 04'!B20</f>
        <v>-417.44365199999999</v>
      </c>
      <c r="C81" s="84">
        <f>'Apertura 04'!B143</f>
        <v>469.49337399999996</v>
      </c>
      <c r="D81" s="32">
        <f>1-(Tabla191011131412334789[[#This Row],[Balanza Comercial Colombia 
( US$ millones)]]/Tabla191011131412334789[[#This Row],[Balanza Comercial Absoluta Colombia 
(US$ millones)]])</f>
        <v>1.889136407705724</v>
      </c>
      <c r="E81" s="2" t="str">
        <f t="shared" si="0"/>
        <v>INDICIOS DE CMRCIO INT</v>
      </c>
    </row>
    <row r="82" spans="1:5" x14ac:dyDescent="0.25">
      <c r="A82" s="31">
        <v>2010</v>
      </c>
      <c r="B82" s="73">
        <f>'Balanza c 04'!B21</f>
        <v>-300.94806999999997</v>
      </c>
      <c r="C82" s="84">
        <f>'Apertura 04'!B144</f>
        <v>349.00295799999998</v>
      </c>
      <c r="D82" s="32">
        <f>1-(Tabla191011131412334789[[#This Row],[Balanza Comercial Colombia 
( US$ millones)]]/Tabla191011131412334789[[#This Row],[Balanza Comercial Absoluta Colombia 
(US$ millones)]])</f>
        <v>1.862308078202592</v>
      </c>
      <c r="E82" s="2" t="str">
        <f t="shared" si="0"/>
        <v>INDICIOS DE CMRCIO INT</v>
      </c>
    </row>
    <row r="83" spans="1:5" x14ac:dyDescent="0.25">
      <c r="A83" s="31">
        <v>2011</v>
      </c>
      <c r="B83" s="73">
        <f>'Balanza c 04'!B22</f>
        <v>-418.64352499999995</v>
      </c>
      <c r="C83" s="84">
        <f>'Apertura 04'!B145</f>
        <v>461.22297900000001</v>
      </c>
      <c r="D83" s="32">
        <f>1-(Tabla191011131412334789[[#This Row],[Balanza Comercial Colombia 
( US$ millones)]]/Tabla191011131412334789[[#This Row],[Balanza Comercial Absoluta Colombia 
(US$ millones)]])</f>
        <v>1.907681412378198</v>
      </c>
      <c r="E83" s="2" t="str">
        <f t="shared" si="0"/>
        <v>INDICIOS DE CMRCIO INT</v>
      </c>
    </row>
    <row r="84" spans="1:5" x14ac:dyDescent="0.25">
      <c r="A84" s="31">
        <v>2012</v>
      </c>
      <c r="B84" s="73">
        <f>'Balanza c 04'!B23</f>
        <v>-266.87277699999999</v>
      </c>
      <c r="C84" s="84">
        <f>'Apertura 04'!B146</f>
        <v>312.25169899999997</v>
      </c>
      <c r="D84" s="32">
        <f>1-(Tabla191011131412334789[[#This Row],[Balanza Comercial Colombia 
( US$ millones)]]/Tabla191011131412334789[[#This Row],[Balanza Comercial Absoluta Colombia 
(US$ millones)]])</f>
        <v>1.8546719773012348</v>
      </c>
      <c r="E84" s="2" t="str">
        <f t="shared" si="0"/>
        <v>INDICIOS DE CMRCIO INT</v>
      </c>
    </row>
    <row r="85" spans="1:5" x14ac:dyDescent="0.25">
      <c r="A85" s="31">
        <v>2013</v>
      </c>
      <c r="B85" s="73">
        <f>'Balanza c 04'!B24</f>
        <v>-472.46718200000004</v>
      </c>
      <c r="C85" s="84">
        <f>'Apertura 04'!B147</f>
        <v>521.40771200000006</v>
      </c>
      <c r="D85" s="32">
        <f>1-(Tabla191011131412334789[[#This Row],[Balanza Comercial Colombia 
( US$ millones)]]/Tabla191011131412334789[[#This Row],[Balanza Comercial Absoluta Colombia 
(US$ millones)]])</f>
        <v>1.9061376944113937</v>
      </c>
      <c r="E85" s="2" t="str">
        <f t="shared" si="0"/>
        <v>INDICIOS DE CMRCIO INT</v>
      </c>
    </row>
    <row r="86" spans="1:5" x14ac:dyDescent="0.25">
      <c r="A86" s="31">
        <v>2014</v>
      </c>
      <c r="B86" s="73">
        <f>'Balanza c 04'!B25</f>
        <v>-1186.7286079999999</v>
      </c>
      <c r="C86" s="84">
        <f>'Apertura 04'!B148</f>
        <v>1250.1815240000001</v>
      </c>
      <c r="D86" s="32">
        <f>1-(Tabla191011131412334789[[#This Row],[Balanza Comercial Colombia 
( US$ millones)]]/Tabla191011131412334789[[#This Row],[Balanza Comercial Absoluta Colombia 
(US$ millones)]])</f>
        <v>1.9492450377950072</v>
      </c>
      <c r="E86" s="2" t="str">
        <f t="shared" si="0"/>
        <v>INDICIOS DE CMRCIO INT</v>
      </c>
    </row>
    <row r="87" spans="1:5" x14ac:dyDescent="0.25">
      <c r="A87" s="31">
        <v>2015</v>
      </c>
      <c r="B87" s="73">
        <f>'Balanza c 04'!B26</f>
        <v>-1264.684698</v>
      </c>
      <c r="C87" s="84">
        <f>'Apertura 04'!B149</f>
        <v>1326.2938319999998</v>
      </c>
      <c r="D87" s="32">
        <f>1-(Tabla191011131412334789[[#This Row],[Balanza Comercial Colombia 
( US$ millones)]]/Tabla191011131412334789[[#This Row],[Balanza Comercial Absoluta Colombia 
(US$ millones)]])</f>
        <v>1.9535478997839448</v>
      </c>
      <c r="E87" s="2" t="str">
        <f t="shared" si="0"/>
        <v>INDICIOS DE CMRCIO INT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5" priority="3" operator="lessThan">
      <formula>0</formula>
    </cfRule>
  </conditionalFormatting>
  <conditionalFormatting sqref="E63:E87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" sqref="B2:B26"/>
    </sheetView>
  </sheetViews>
  <sheetFormatPr baseColWidth="10" defaultRowHeight="15" x14ac:dyDescent="0.25"/>
  <cols>
    <col min="2" max="2" width="13.42578125" customWidth="1"/>
  </cols>
  <sheetData>
    <row r="1" spans="1:2" ht="60" x14ac:dyDescent="0.25">
      <c r="A1" s="34" t="s">
        <v>3</v>
      </c>
      <c r="B1" s="34" t="s">
        <v>155</v>
      </c>
    </row>
    <row r="2" spans="1:2" x14ac:dyDescent="0.25">
      <c r="A2" s="54">
        <v>1991</v>
      </c>
      <c r="B2" s="73">
        <v>175.03537600000001</v>
      </c>
    </row>
    <row r="3" spans="1:2" x14ac:dyDescent="0.25">
      <c r="A3" s="55">
        <v>1992</v>
      </c>
      <c r="B3" s="73">
        <v>158.547056</v>
      </c>
    </row>
    <row r="4" spans="1:2" x14ac:dyDescent="0.25">
      <c r="A4" s="54">
        <v>1993</v>
      </c>
      <c r="B4" s="73">
        <v>210.10672</v>
      </c>
    </row>
    <row r="5" spans="1:2" x14ac:dyDescent="0.25">
      <c r="A5" s="55">
        <v>1994</v>
      </c>
      <c r="B5" s="73">
        <v>243.64107200000001</v>
      </c>
    </row>
    <row r="6" spans="1:2" x14ac:dyDescent="0.25">
      <c r="A6" s="54">
        <v>1995</v>
      </c>
      <c r="B6" s="73">
        <v>177.53075200000001</v>
      </c>
    </row>
    <row r="7" spans="1:2" x14ac:dyDescent="0.25">
      <c r="A7" s="55">
        <v>1996</v>
      </c>
      <c r="B7" s="73">
        <v>149.02027200000001</v>
      </c>
    </row>
    <row r="8" spans="1:2" x14ac:dyDescent="0.25">
      <c r="A8" s="54">
        <v>1997</v>
      </c>
      <c r="B8" s="73">
        <v>183.25291200000001</v>
      </c>
    </row>
    <row r="9" spans="1:2" x14ac:dyDescent="0.25">
      <c r="A9" s="55">
        <v>1998</v>
      </c>
      <c r="B9" s="73">
        <v>160.56084799999999</v>
      </c>
    </row>
    <row r="10" spans="1:2" x14ac:dyDescent="0.25">
      <c r="A10" s="54">
        <v>1999</v>
      </c>
      <c r="B10" s="73">
        <v>233.62775999999999</v>
      </c>
    </row>
    <row r="11" spans="1:2" x14ac:dyDescent="0.25">
      <c r="A11" s="55">
        <v>2000</v>
      </c>
      <c r="B11" s="73">
        <v>205.67479800000001</v>
      </c>
    </row>
    <row r="12" spans="1:2" x14ac:dyDescent="0.25">
      <c r="A12" s="55">
        <v>2001</v>
      </c>
      <c r="B12" s="73">
        <v>180.33841799999999</v>
      </c>
    </row>
    <row r="13" spans="1:2" x14ac:dyDescent="0.25">
      <c r="A13" s="55">
        <v>2002</v>
      </c>
      <c r="B13" s="73">
        <v>188.665188</v>
      </c>
    </row>
    <row r="14" spans="1:2" x14ac:dyDescent="0.25">
      <c r="A14" s="54">
        <v>2003</v>
      </c>
      <c r="B14" s="73">
        <v>177.883725</v>
      </c>
    </row>
    <row r="15" spans="1:2" x14ac:dyDescent="0.25">
      <c r="A15" s="55">
        <v>2004</v>
      </c>
      <c r="B15" s="73">
        <v>170.255897</v>
      </c>
    </row>
    <row r="16" spans="1:2" x14ac:dyDescent="0.25">
      <c r="A16" s="54">
        <v>2005</v>
      </c>
      <c r="B16" s="73">
        <v>209.21320399999999</v>
      </c>
    </row>
    <row r="17" spans="1:2" x14ac:dyDescent="0.25">
      <c r="A17" s="55">
        <v>2006</v>
      </c>
      <c r="B17" s="73">
        <v>205.68426400000001</v>
      </c>
    </row>
    <row r="18" spans="1:2" x14ac:dyDescent="0.25">
      <c r="A18" s="54">
        <v>2007</v>
      </c>
      <c r="B18" s="73">
        <v>179.43127200000001</v>
      </c>
    </row>
    <row r="19" spans="1:2" x14ac:dyDescent="0.25">
      <c r="A19" s="55">
        <v>2008</v>
      </c>
      <c r="B19" s="73">
        <v>208.32001099999999</v>
      </c>
    </row>
    <row r="20" spans="1:2" x14ac:dyDescent="0.25">
      <c r="A20" s="54">
        <v>2009</v>
      </c>
      <c r="B20" s="73">
        <v>292.94803100000001</v>
      </c>
    </row>
    <row r="21" spans="1:2" x14ac:dyDescent="0.25">
      <c r="A21" s="55">
        <v>2010</v>
      </c>
      <c r="B21" s="73">
        <v>265.840957</v>
      </c>
    </row>
    <row r="22" spans="1:2" x14ac:dyDescent="0.25">
      <c r="A22" s="54">
        <v>2011</v>
      </c>
      <c r="B22" s="73">
        <v>233.95684900000001</v>
      </c>
    </row>
    <row r="23" spans="1:2" x14ac:dyDescent="0.25">
      <c r="A23" s="55">
        <v>2012</v>
      </c>
      <c r="B23" s="73">
        <v>268.91415699999999</v>
      </c>
    </row>
    <row r="24" spans="1:2" x14ac:dyDescent="0.25">
      <c r="A24" s="54">
        <v>2013</v>
      </c>
      <c r="B24" s="73">
        <v>242.415783</v>
      </c>
    </row>
    <row r="25" spans="1:2" x14ac:dyDescent="0.25">
      <c r="A25" s="55">
        <v>2014</v>
      </c>
      <c r="B25" s="73">
        <v>266.42256800000001</v>
      </c>
    </row>
    <row r="26" spans="1:2" x14ac:dyDescent="0.25">
      <c r="A26" s="54">
        <v>2015</v>
      </c>
      <c r="B26" s="73">
        <v>209.47781000000001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" sqref="B2:B26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141</v>
      </c>
    </row>
    <row r="2" spans="1:2" x14ac:dyDescent="0.25">
      <c r="A2" s="54">
        <v>1991</v>
      </c>
      <c r="B2" s="73">
        <v>11.072051</v>
      </c>
    </row>
    <row r="3" spans="1:2" x14ac:dyDescent="0.25">
      <c r="A3" s="55">
        <v>1992</v>
      </c>
      <c r="B3" s="73">
        <v>14.555948000000001</v>
      </c>
    </row>
    <row r="4" spans="1:2" x14ac:dyDescent="0.25">
      <c r="A4" s="54">
        <v>1993</v>
      </c>
      <c r="B4" s="73">
        <v>8.8777670000000004</v>
      </c>
    </row>
    <row r="5" spans="1:2" x14ac:dyDescent="0.25">
      <c r="A5" s="55">
        <v>1994</v>
      </c>
      <c r="B5" s="73">
        <v>30.067668000000001</v>
      </c>
    </row>
    <row r="6" spans="1:2" x14ac:dyDescent="0.25">
      <c r="A6" s="54">
        <v>1995</v>
      </c>
      <c r="B6" s="73">
        <v>30.092663999999999</v>
      </c>
    </row>
    <row r="7" spans="1:2" x14ac:dyDescent="0.25">
      <c r="A7" s="55">
        <v>1996</v>
      </c>
      <c r="B7" s="73">
        <v>26.35585</v>
      </c>
    </row>
    <row r="8" spans="1:2" x14ac:dyDescent="0.25">
      <c r="A8" s="54">
        <v>1997</v>
      </c>
      <c r="B8" s="73">
        <v>33.721240000000002</v>
      </c>
    </row>
    <row r="9" spans="1:2" x14ac:dyDescent="0.25">
      <c r="A9" s="55">
        <v>1998</v>
      </c>
      <c r="B9" s="73">
        <v>28.083924</v>
      </c>
    </row>
    <row r="10" spans="1:2" x14ac:dyDescent="0.25">
      <c r="A10" s="54">
        <v>1999</v>
      </c>
      <c r="B10" s="73">
        <v>23.445456</v>
      </c>
    </row>
    <row r="11" spans="1:2" x14ac:dyDescent="0.25">
      <c r="A11" s="55">
        <v>2000</v>
      </c>
      <c r="B11" s="73">
        <v>22.130406000000001</v>
      </c>
    </row>
    <row r="12" spans="1:2" x14ac:dyDescent="0.25">
      <c r="A12" s="54">
        <v>2001</v>
      </c>
      <c r="B12" s="73">
        <v>17.19295</v>
      </c>
    </row>
    <row r="13" spans="1:2" x14ac:dyDescent="0.25">
      <c r="A13" s="55">
        <v>2002</v>
      </c>
      <c r="B13" s="73">
        <v>16.889787999999999</v>
      </c>
    </row>
    <row r="14" spans="1:2" x14ac:dyDescent="0.25">
      <c r="A14" s="54">
        <v>2003</v>
      </c>
      <c r="B14" s="73">
        <v>14.306723</v>
      </c>
    </row>
    <row r="15" spans="1:2" x14ac:dyDescent="0.25">
      <c r="A15" s="55">
        <v>2004</v>
      </c>
      <c r="B15" s="73">
        <v>16.921779000000001</v>
      </c>
    </row>
    <row r="16" spans="1:2" x14ac:dyDescent="0.25">
      <c r="A16" s="54">
        <v>2005</v>
      </c>
      <c r="B16" s="73">
        <v>22.815715000000001</v>
      </c>
    </row>
    <row r="17" spans="1:2" x14ac:dyDescent="0.25">
      <c r="A17" s="55">
        <v>2006</v>
      </c>
      <c r="B17" s="73">
        <v>25.711245000000002</v>
      </c>
    </row>
    <row r="18" spans="1:2" x14ac:dyDescent="0.25">
      <c r="A18" s="54">
        <v>2007</v>
      </c>
      <c r="B18" s="73">
        <v>37.885289</v>
      </c>
    </row>
    <row r="19" spans="1:2" x14ac:dyDescent="0.25">
      <c r="A19" s="55">
        <v>2008</v>
      </c>
      <c r="B19" s="73">
        <v>41.289866000000004</v>
      </c>
    </row>
    <row r="20" spans="1:2" x14ac:dyDescent="0.25">
      <c r="A20" s="54">
        <v>2009</v>
      </c>
      <c r="B20" s="73">
        <v>54.413074000000002</v>
      </c>
    </row>
    <row r="21" spans="1:2" x14ac:dyDescent="0.25">
      <c r="A21" s="55">
        <v>2010</v>
      </c>
      <c r="B21" s="73">
        <v>50.402794</v>
      </c>
    </row>
    <row r="22" spans="1:2" x14ac:dyDescent="0.25">
      <c r="A22" s="54">
        <v>2011</v>
      </c>
      <c r="B22" s="73">
        <v>73.516311000000002</v>
      </c>
    </row>
    <row r="23" spans="1:2" x14ac:dyDescent="0.25">
      <c r="A23" s="55">
        <v>2012</v>
      </c>
      <c r="B23" s="73">
        <v>92.507591000000005</v>
      </c>
    </row>
    <row r="24" spans="1:2" x14ac:dyDescent="0.25">
      <c r="A24" s="54">
        <v>2013</v>
      </c>
      <c r="B24" s="73">
        <v>115.993036</v>
      </c>
    </row>
    <row r="25" spans="1:2" x14ac:dyDescent="0.25">
      <c r="A25" s="55">
        <v>2014</v>
      </c>
      <c r="B25" s="73">
        <v>142.43887699999999</v>
      </c>
    </row>
    <row r="26" spans="1:2" x14ac:dyDescent="0.25">
      <c r="A26" s="54">
        <v>2015</v>
      </c>
      <c r="B26" s="73">
        <v>129.08264399999999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6" sqref="B6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120</v>
      </c>
    </row>
    <row r="2" spans="1:2" x14ac:dyDescent="0.25">
      <c r="A2" s="54">
        <v>1991</v>
      </c>
      <c r="B2">
        <v>1806.394</v>
      </c>
    </row>
    <row r="3" spans="1:2" x14ac:dyDescent="0.25">
      <c r="A3" s="55">
        <v>1992</v>
      </c>
      <c r="B3">
        <v>3152.6379999999999</v>
      </c>
    </row>
    <row r="4" spans="1:2" x14ac:dyDescent="0.25">
      <c r="A4" s="54">
        <v>1993</v>
      </c>
      <c r="B4">
        <v>3215.2869999999998</v>
      </c>
    </row>
    <row r="5" spans="1:2" x14ac:dyDescent="0.25">
      <c r="A5" s="55">
        <v>1994</v>
      </c>
      <c r="B5">
        <v>4474.9809999999998</v>
      </c>
    </row>
    <row r="6" spans="1:2" x14ac:dyDescent="0.25">
      <c r="A6" s="54">
        <v>1995</v>
      </c>
      <c r="B6">
        <v>3992.277</v>
      </c>
    </row>
    <row r="7" spans="1:2" x14ac:dyDescent="0.25">
      <c r="A7" s="55">
        <v>1996</v>
      </c>
      <c r="B7">
        <v>5379.8019999999997</v>
      </c>
    </row>
    <row r="8" spans="1:2" x14ac:dyDescent="0.25">
      <c r="A8" s="54">
        <v>1997</v>
      </c>
      <c r="B8">
        <v>3821.105</v>
      </c>
    </row>
    <row r="9" spans="1:2" x14ac:dyDescent="0.25">
      <c r="A9" s="55">
        <v>1998</v>
      </c>
      <c r="B9">
        <v>3538.69</v>
      </c>
    </row>
    <row r="10" spans="1:2" x14ac:dyDescent="0.25">
      <c r="A10" s="54">
        <v>1999</v>
      </c>
      <c r="B10">
        <v>3328.6469999999999</v>
      </c>
    </row>
    <row r="11" spans="1:2" x14ac:dyDescent="0.25">
      <c r="A11" s="55">
        <v>2000</v>
      </c>
      <c r="B11">
        <v>2423.2669999999998</v>
      </c>
    </row>
    <row r="12" spans="1:2" x14ac:dyDescent="0.25">
      <c r="A12" s="54">
        <v>2001</v>
      </c>
      <c r="B12">
        <v>3458.69</v>
      </c>
    </row>
    <row r="13" spans="1:2" x14ac:dyDescent="0.25">
      <c r="A13" s="55">
        <v>2002</v>
      </c>
      <c r="B13">
        <v>3495.8850000000002</v>
      </c>
    </row>
    <row r="14" spans="1:2" x14ac:dyDescent="0.25">
      <c r="A14" s="54">
        <v>2003</v>
      </c>
      <c r="B14">
        <v>4221.4390000000003</v>
      </c>
    </row>
    <row r="15" spans="1:2" x14ac:dyDescent="0.25">
      <c r="A15" s="55">
        <v>2004</v>
      </c>
      <c r="B15">
        <v>2268.058</v>
      </c>
    </row>
    <row r="16" spans="1:2" x14ac:dyDescent="0.25">
      <c r="A16" s="54">
        <v>2005</v>
      </c>
      <c r="B16">
        <v>3775.5949999999998</v>
      </c>
    </row>
    <row r="17" spans="1:2" x14ac:dyDescent="0.25">
      <c r="A17" s="55">
        <v>2006</v>
      </c>
      <c r="B17">
        <v>3769.5279999999998</v>
      </c>
    </row>
    <row r="18" spans="1:2" x14ac:dyDescent="0.25">
      <c r="A18" s="54">
        <v>2007</v>
      </c>
      <c r="B18">
        <v>4219.6670000000004</v>
      </c>
    </row>
    <row r="19" spans="1:2" x14ac:dyDescent="0.25">
      <c r="A19" s="55">
        <v>2008</v>
      </c>
      <c r="B19">
        <v>4908.3850000000002</v>
      </c>
    </row>
    <row r="20" spans="1:2" x14ac:dyDescent="0.25">
      <c r="A20" s="54">
        <v>2009</v>
      </c>
      <c r="B20">
        <v>4795.9279999999999</v>
      </c>
    </row>
    <row r="21" spans="1:2" x14ac:dyDescent="0.25">
      <c r="A21" s="55">
        <v>2010</v>
      </c>
      <c r="B21">
        <v>912.50599999999997</v>
      </c>
    </row>
    <row r="22" spans="1:2" x14ac:dyDescent="0.25">
      <c r="A22" s="54">
        <v>2011</v>
      </c>
      <c r="B22">
        <v>1611.5440000000001</v>
      </c>
    </row>
    <row r="23" spans="1:2" x14ac:dyDescent="0.25">
      <c r="A23" s="55">
        <v>2012</v>
      </c>
      <c r="B23">
        <v>1734.827</v>
      </c>
    </row>
    <row r="24" spans="1:2" x14ac:dyDescent="0.25">
      <c r="A24" s="54">
        <v>2013</v>
      </c>
      <c r="B24">
        <v>1652.723</v>
      </c>
    </row>
    <row r="25" spans="1:2" x14ac:dyDescent="0.25">
      <c r="A25" s="55">
        <v>2014</v>
      </c>
      <c r="B25">
        <v>1246.8779999999999</v>
      </c>
    </row>
    <row r="26" spans="1:2" x14ac:dyDescent="0.25">
      <c r="A26" s="54">
        <v>2015</v>
      </c>
      <c r="B26">
        <v>520.46799999999996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6" sqref="C6"/>
    </sheetView>
  </sheetViews>
  <sheetFormatPr baseColWidth="10" defaultRowHeight="15" x14ac:dyDescent="0.25"/>
  <cols>
    <col min="2" max="2" width="12.85546875" customWidth="1"/>
  </cols>
  <sheetData>
    <row r="1" spans="1:7" ht="75" x14ac:dyDescent="0.25">
      <c r="A1" s="34" t="s">
        <v>3</v>
      </c>
      <c r="B1" s="34" t="s">
        <v>142</v>
      </c>
    </row>
    <row r="2" spans="1:7" x14ac:dyDescent="0.25">
      <c r="A2" s="54">
        <v>1991</v>
      </c>
      <c r="B2" s="105">
        <f>('Export 05'!B2)-('Import 05'!B2)</f>
        <v>163.96332500000003</v>
      </c>
      <c r="D2" s="128" t="s">
        <v>36</v>
      </c>
      <c r="E2" s="128"/>
      <c r="F2" s="107" t="s">
        <v>10</v>
      </c>
      <c r="G2" s="7" t="s">
        <v>37</v>
      </c>
    </row>
    <row r="3" spans="1:7" x14ac:dyDescent="0.25">
      <c r="A3" s="55">
        <v>1992</v>
      </c>
      <c r="B3" s="105">
        <f>('Export 05'!B3)-('Import 05'!B3)</f>
        <v>143.991108</v>
      </c>
    </row>
    <row r="4" spans="1:7" x14ac:dyDescent="0.25">
      <c r="A4" s="54">
        <v>1993</v>
      </c>
      <c r="B4" s="105">
        <f>('Export 05'!B4)-('Import 05'!B4)</f>
        <v>201.22895299999999</v>
      </c>
    </row>
    <row r="5" spans="1:7" x14ac:dyDescent="0.25">
      <c r="A5" s="55">
        <v>1994</v>
      </c>
      <c r="B5" s="105">
        <f>('Export 05'!B5)-('Import 05'!B5)</f>
        <v>213.57340400000001</v>
      </c>
    </row>
    <row r="6" spans="1:7" x14ac:dyDescent="0.25">
      <c r="A6" s="54">
        <v>1995</v>
      </c>
      <c r="B6" s="105">
        <f>('Export 05'!B6)-('Import 05'!B6)</f>
        <v>147.43808799999999</v>
      </c>
    </row>
    <row r="7" spans="1:7" x14ac:dyDescent="0.25">
      <c r="A7" s="55">
        <v>1996</v>
      </c>
      <c r="B7" s="105">
        <f>('Export 05'!B7)-('Import 05'!B7)</f>
        <v>122.664422</v>
      </c>
    </row>
    <row r="8" spans="1:7" x14ac:dyDescent="0.25">
      <c r="A8" s="54">
        <v>1997</v>
      </c>
      <c r="B8" s="105">
        <f>('Export 05'!B8)-('Import 05'!B8)</f>
        <v>149.53167200000001</v>
      </c>
    </row>
    <row r="9" spans="1:7" x14ac:dyDescent="0.25">
      <c r="A9" s="55">
        <v>1998</v>
      </c>
      <c r="B9" s="105">
        <f>('Export 05'!B9)-('Import 05'!B9)</f>
        <v>132.476924</v>
      </c>
    </row>
    <row r="10" spans="1:7" x14ac:dyDescent="0.25">
      <c r="A10" s="54">
        <v>1999</v>
      </c>
      <c r="B10" s="105">
        <f>('Export 05'!B10)-('Import 05'!B10)</f>
        <v>210.18230399999999</v>
      </c>
    </row>
    <row r="11" spans="1:7" x14ac:dyDescent="0.25">
      <c r="A11" s="55">
        <v>2000</v>
      </c>
      <c r="B11" s="105">
        <f>('Export 05'!B11)-('Import 05'!B11)</f>
        <v>183.54439200000002</v>
      </c>
    </row>
    <row r="12" spans="1:7" x14ac:dyDescent="0.25">
      <c r="A12" s="54">
        <v>2001</v>
      </c>
      <c r="B12" s="105">
        <f>('Export 05'!B12)-('Import 05'!B12)</f>
        <v>163.14546799999999</v>
      </c>
    </row>
    <row r="13" spans="1:7" x14ac:dyDescent="0.25">
      <c r="A13" s="55">
        <v>2002</v>
      </c>
      <c r="B13" s="105">
        <f>('Export 05'!B13)-('Import 05'!B13)</f>
        <v>171.77539999999999</v>
      </c>
    </row>
    <row r="14" spans="1:7" x14ac:dyDescent="0.25">
      <c r="A14" s="54">
        <v>2003</v>
      </c>
      <c r="B14" s="105">
        <f>('Export 05'!B14)-('Import 05'!B14)</f>
        <v>163.57700199999999</v>
      </c>
    </row>
    <row r="15" spans="1:7" x14ac:dyDescent="0.25">
      <c r="A15" s="55">
        <v>2004</v>
      </c>
      <c r="B15" s="105">
        <f>('Export 05'!B15)-('Import 05'!B15)</f>
        <v>153.33411799999999</v>
      </c>
    </row>
    <row r="16" spans="1:7" x14ac:dyDescent="0.25">
      <c r="A16" s="54">
        <v>2005</v>
      </c>
      <c r="B16" s="105">
        <f>('Export 05'!B16)-('Import 05'!B16)</f>
        <v>186.39748899999998</v>
      </c>
    </row>
    <row r="17" spans="1:2" x14ac:dyDescent="0.25">
      <c r="A17" s="55">
        <v>2006</v>
      </c>
      <c r="B17" s="105">
        <f>('Export 05'!B17)-('Import 05'!B17)</f>
        <v>179.97301900000002</v>
      </c>
    </row>
    <row r="18" spans="1:2" x14ac:dyDescent="0.25">
      <c r="A18" s="54">
        <v>2007</v>
      </c>
      <c r="B18" s="105">
        <f>('Export 05'!B18)-('Import 05'!B18)</f>
        <v>141.54598300000001</v>
      </c>
    </row>
    <row r="19" spans="1:2" x14ac:dyDescent="0.25">
      <c r="A19" s="55">
        <v>2008</v>
      </c>
      <c r="B19" s="105">
        <f>('Export 05'!B19)-('Import 05'!B19)</f>
        <v>167.030145</v>
      </c>
    </row>
    <row r="20" spans="1:2" x14ac:dyDescent="0.25">
      <c r="A20" s="54">
        <v>2009</v>
      </c>
      <c r="B20" s="105">
        <f>('Export 05'!B20)-('Import 05'!B20)</f>
        <v>238.53495700000002</v>
      </c>
    </row>
    <row r="21" spans="1:2" x14ac:dyDescent="0.25">
      <c r="A21" s="55">
        <v>2010</v>
      </c>
      <c r="B21" s="105">
        <f>('Export 05'!B21)-('Import 05'!B21)</f>
        <v>215.438163</v>
      </c>
    </row>
    <row r="22" spans="1:2" x14ac:dyDescent="0.25">
      <c r="A22" s="54">
        <v>2011</v>
      </c>
      <c r="B22" s="105">
        <f>('Export 05'!B22)-('Import 05'!B22)</f>
        <v>160.440538</v>
      </c>
    </row>
    <row r="23" spans="1:2" x14ac:dyDescent="0.25">
      <c r="A23" s="55">
        <v>2012</v>
      </c>
      <c r="B23" s="105">
        <f>('Export 05'!B23)-('Import 05'!B23)</f>
        <v>176.406566</v>
      </c>
    </row>
    <row r="24" spans="1:2" x14ac:dyDescent="0.25">
      <c r="A24" s="54">
        <v>2013</v>
      </c>
      <c r="B24" s="105">
        <f>('Export 05'!B24)-('Import 05'!B24)</f>
        <v>126.422747</v>
      </c>
    </row>
    <row r="25" spans="1:2" x14ac:dyDescent="0.25">
      <c r="A25" s="55">
        <v>2014</v>
      </c>
      <c r="B25" s="105">
        <f>('Export 05'!B25)-('Import 05'!B25)</f>
        <v>123.98369100000002</v>
      </c>
    </row>
    <row r="26" spans="1:2" x14ac:dyDescent="0.25">
      <c r="A26" s="54">
        <v>2015</v>
      </c>
      <c r="B26" s="105">
        <f>('Export 05'!B26)-('Import 05'!B26)</f>
        <v>80.395166000000017</v>
      </c>
    </row>
    <row r="27" spans="1:2" x14ac:dyDescent="0.25">
      <c r="A27" t="s">
        <v>117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181" zoomScale="110" zoomScaleNormal="110" workbookViewId="0">
      <selection activeCell="A2" sqref="A2:D26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4.28515625" bestFit="1" customWidth="1"/>
    <col min="6" max="6" width="13.28515625" customWidth="1"/>
    <col min="7" max="8" width="12.5703125" customWidth="1"/>
    <col min="9" max="9" width="3.7109375" customWidth="1"/>
    <col min="11" max="11" width="12.28515625" bestFit="1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107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13</v>
      </c>
      <c r="C6" s="13" t="s">
        <v>9</v>
      </c>
      <c r="D6" s="14" t="s">
        <v>4</v>
      </c>
    </row>
    <row r="7" spans="1:10" x14ac:dyDescent="0.25">
      <c r="A7" s="10">
        <v>1991</v>
      </c>
      <c r="B7" s="93">
        <f>'Export 05'!B2</f>
        <v>175.03537600000001</v>
      </c>
      <c r="C7" s="5">
        <v>41239.551378248201</v>
      </c>
      <c r="D7" s="19">
        <f t="shared" ref="D7:D31" si="0">B7/(C7*100)</f>
        <v>4.2443569377023435E-5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93">
        <f>'Export 05'!B3</f>
        <v>158.547056</v>
      </c>
      <c r="C8" s="5">
        <v>49279.585355094838</v>
      </c>
      <c r="D8" s="19">
        <f t="shared" si="0"/>
        <v>3.2172968757256072E-5</v>
      </c>
    </row>
    <row r="9" spans="1:10" x14ac:dyDescent="0.25">
      <c r="A9" s="10">
        <v>1993</v>
      </c>
      <c r="B9" s="93">
        <f>'Export 05'!B4</f>
        <v>210.10672</v>
      </c>
      <c r="C9" s="5">
        <v>55802.540100979531</v>
      </c>
      <c r="D9" s="19">
        <f t="shared" si="0"/>
        <v>3.7651820081987964E-5</v>
      </c>
    </row>
    <row r="10" spans="1:10" x14ac:dyDescent="0.25">
      <c r="A10" s="10">
        <v>1994</v>
      </c>
      <c r="B10" s="93">
        <f>'Export 05'!B5</f>
        <v>243.64107200000001</v>
      </c>
      <c r="C10" s="5">
        <v>81703.496603993364</v>
      </c>
      <c r="D10" s="19">
        <f t="shared" si="0"/>
        <v>2.9820152395790088E-5</v>
      </c>
    </row>
    <row r="11" spans="1:10" x14ac:dyDescent="0.25">
      <c r="A11" s="10">
        <v>1995</v>
      </c>
      <c r="B11" s="93">
        <f>'Export 05'!B6</f>
        <v>177.53075200000001</v>
      </c>
      <c r="C11" s="5">
        <v>92507.277798198498</v>
      </c>
      <c r="D11" s="19">
        <f t="shared" si="0"/>
        <v>1.9191003802671326E-5</v>
      </c>
    </row>
    <row r="12" spans="1:10" x14ac:dyDescent="0.25">
      <c r="A12" s="10">
        <v>1996</v>
      </c>
      <c r="B12" s="93">
        <f>'Export 05'!B7</f>
        <v>149.02027200000001</v>
      </c>
      <c r="C12" s="5">
        <v>97160.111573336981</v>
      </c>
      <c r="D12" s="19">
        <f t="shared" si="0"/>
        <v>1.5337597866745829E-5</v>
      </c>
    </row>
    <row r="13" spans="1:10" x14ac:dyDescent="0.25">
      <c r="A13" s="10">
        <v>1997</v>
      </c>
      <c r="B13" s="93">
        <f>'Export 05'!B8</f>
        <v>183.25291200000001</v>
      </c>
      <c r="C13" s="5">
        <v>106659.5079635281</v>
      </c>
      <c r="D13" s="19">
        <f t="shared" si="0"/>
        <v>1.7181113573359329E-5</v>
      </c>
    </row>
    <row r="14" spans="1:10" x14ac:dyDescent="0.25">
      <c r="A14" s="10">
        <v>1998</v>
      </c>
      <c r="B14" s="93">
        <f>'Export 05'!B9</f>
        <v>160.56084799999999</v>
      </c>
      <c r="C14" s="5">
        <v>98443.743190849113</v>
      </c>
      <c r="D14" s="19">
        <f t="shared" si="0"/>
        <v>1.6309908867313877E-5</v>
      </c>
    </row>
    <row r="15" spans="1:10" x14ac:dyDescent="0.25">
      <c r="A15" s="10">
        <v>1999</v>
      </c>
      <c r="B15" s="93">
        <f>'Export 05'!B10</f>
        <v>233.62775999999999</v>
      </c>
      <c r="C15" s="5">
        <v>86186.156584381664</v>
      </c>
      <c r="D15" s="19">
        <f t="shared" si="0"/>
        <v>2.7107341742436761E-5</v>
      </c>
    </row>
    <row r="16" spans="1:10" x14ac:dyDescent="0.25">
      <c r="A16" s="10">
        <v>2000</v>
      </c>
      <c r="B16" s="93">
        <f>'Export 05'!B11</f>
        <v>205.67479800000001</v>
      </c>
      <c r="C16" s="5">
        <v>99886.577575544405</v>
      </c>
      <c r="D16" s="19">
        <f t="shared" si="0"/>
        <v>2.059083442361891E-5</v>
      </c>
    </row>
    <row r="17" spans="1:4" x14ac:dyDescent="0.25">
      <c r="A17" s="10">
        <v>2001</v>
      </c>
      <c r="B17" s="93">
        <f>'Export 05'!B12</f>
        <v>180.33841799999999</v>
      </c>
      <c r="C17" s="5">
        <v>98203.544965267793</v>
      </c>
      <c r="D17" s="19">
        <f t="shared" si="0"/>
        <v>1.8363738097619723E-5</v>
      </c>
    </row>
    <row r="18" spans="1:4" x14ac:dyDescent="0.25">
      <c r="A18" s="10">
        <v>2002</v>
      </c>
      <c r="B18" s="93">
        <f>'Export 05'!B13</f>
        <v>188.665188</v>
      </c>
      <c r="C18" s="5">
        <v>97933.392356425262</v>
      </c>
      <c r="D18" s="19">
        <f t="shared" si="0"/>
        <v>1.926464339286435E-5</v>
      </c>
    </row>
    <row r="19" spans="1:4" x14ac:dyDescent="0.25">
      <c r="A19" s="10">
        <v>2003</v>
      </c>
      <c r="B19" s="93">
        <f>'Export 05'!B14</f>
        <v>177.883725</v>
      </c>
      <c r="C19" s="5">
        <v>94684.582573316715</v>
      </c>
      <c r="D19" s="19">
        <f t="shared" si="0"/>
        <v>1.8786978847613342E-5</v>
      </c>
    </row>
    <row r="20" spans="1:4" x14ac:dyDescent="0.25">
      <c r="A20" s="10">
        <v>2004</v>
      </c>
      <c r="B20" s="93">
        <f>'Export 05'!B15</f>
        <v>170.255897</v>
      </c>
      <c r="C20" s="5">
        <v>117074.86551527939</v>
      </c>
      <c r="D20" s="19">
        <f t="shared" si="0"/>
        <v>1.4542480681114254E-5</v>
      </c>
    </row>
    <row r="21" spans="1:4" x14ac:dyDescent="0.25">
      <c r="A21" s="10">
        <v>2005</v>
      </c>
      <c r="B21" s="93">
        <f>'Export 05'!B16</f>
        <v>209.21320399999999</v>
      </c>
      <c r="C21" s="5">
        <v>146566.26631057015</v>
      </c>
      <c r="D21" s="19">
        <f t="shared" si="0"/>
        <v>1.4274308083736171E-5</v>
      </c>
    </row>
    <row r="22" spans="1:4" x14ac:dyDescent="0.25">
      <c r="A22" s="10">
        <v>2006</v>
      </c>
      <c r="B22" s="93">
        <f>'Export 05'!B17</f>
        <v>205.68426400000001</v>
      </c>
      <c r="C22" s="5">
        <v>162590.1460964143</v>
      </c>
      <c r="D22" s="19">
        <f t="shared" si="0"/>
        <v>1.2650475378626657E-5</v>
      </c>
    </row>
    <row r="23" spans="1:4" x14ac:dyDescent="0.25">
      <c r="A23" s="10">
        <v>2007</v>
      </c>
      <c r="B23" s="93">
        <f>'Export 05'!B18</f>
        <v>179.43127200000001</v>
      </c>
      <c r="C23" s="5">
        <v>207416.49464237894</v>
      </c>
      <c r="D23" s="19">
        <f t="shared" si="0"/>
        <v>8.6507715940995826E-6</v>
      </c>
    </row>
    <row r="24" spans="1:4" x14ac:dyDescent="0.25">
      <c r="A24" s="10">
        <v>2008</v>
      </c>
      <c r="B24" s="93">
        <f>'Export 05'!B19</f>
        <v>208.32001099999999</v>
      </c>
      <c r="C24" s="5">
        <v>243982.43787084011</v>
      </c>
      <c r="D24" s="19">
        <f t="shared" si="0"/>
        <v>8.538319922447895E-6</v>
      </c>
    </row>
    <row r="25" spans="1:4" x14ac:dyDescent="0.25">
      <c r="A25" s="10">
        <v>2009</v>
      </c>
      <c r="B25" s="93">
        <f>'Export 05'!B20</f>
        <v>292.94803100000001</v>
      </c>
      <c r="C25" s="5">
        <v>233821.6705442575</v>
      </c>
      <c r="D25" s="19">
        <f t="shared" si="0"/>
        <v>1.252869463801693E-5</v>
      </c>
    </row>
    <row r="26" spans="1:4" x14ac:dyDescent="0.25">
      <c r="A26" s="10">
        <v>2010</v>
      </c>
      <c r="B26" s="93">
        <f>'Export 05'!B21</f>
        <v>265.840957</v>
      </c>
      <c r="C26" s="5">
        <v>287018.18463752925</v>
      </c>
      <c r="D26" s="19">
        <f t="shared" si="0"/>
        <v>9.2621642540080292E-6</v>
      </c>
    </row>
    <row r="27" spans="1:4" x14ac:dyDescent="0.25">
      <c r="A27" s="10">
        <v>2011</v>
      </c>
      <c r="B27" s="93">
        <f>'Export 05'!B22</f>
        <v>233.95684900000001</v>
      </c>
      <c r="C27" s="5">
        <v>335415.15670218616</v>
      </c>
      <c r="D27" s="19">
        <f t="shared" si="0"/>
        <v>6.9751424264863916E-6</v>
      </c>
    </row>
    <row r="28" spans="1:4" x14ac:dyDescent="0.25">
      <c r="A28" s="10">
        <v>2012</v>
      </c>
      <c r="B28" s="93">
        <f>'Export 05'!B23</f>
        <v>268.91415699999999</v>
      </c>
      <c r="C28" s="5">
        <v>369659.70037551981</v>
      </c>
      <c r="D28" s="19">
        <f t="shared" si="0"/>
        <v>7.2746408853013402E-6</v>
      </c>
    </row>
    <row r="29" spans="1:4" x14ac:dyDescent="0.25">
      <c r="A29" s="10">
        <v>2013</v>
      </c>
      <c r="B29" s="93">
        <f>'Export 05'!B24</f>
        <v>242.415783</v>
      </c>
      <c r="C29" s="5">
        <v>380191.88186037214</v>
      </c>
      <c r="D29" s="19">
        <f t="shared" si="0"/>
        <v>6.3761430626503684E-6</v>
      </c>
    </row>
    <row r="30" spans="1:4" x14ac:dyDescent="0.25">
      <c r="A30" s="10">
        <v>2014</v>
      </c>
      <c r="B30" s="93">
        <f>'Export 05'!B25</f>
        <v>266.42256800000001</v>
      </c>
      <c r="C30" s="5">
        <v>378416.02053371473</v>
      </c>
      <c r="D30" s="19">
        <f t="shared" si="0"/>
        <v>7.0404674628796078E-6</v>
      </c>
    </row>
    <row r="31" spans="1:4" x14ac:dyDescent="0.25">
      <c r="A31" s="11">
        <v>2015</v>
      </c>
      <c r="B31" s="93">
        <f>'Export 05'!B26</f>
        <v>209.47781000000001</v>
      </c>
      <c r="C31" s="6">
        <v>292080.15563330991</v>
      </c>
      <c r="D31" s="19">
        <f t="shared" si="0"/>
        <v>7.1719288681490405E-6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41</v>
      </c>
      <c r="C35" s="13" t="s">
        <v>9</v>
      </c>
      <c r="D35" s="14" t="s">
        <v>40</v>
      </c>
    </row>
    <row r="36" spans="1:10" x14ac:dyDescent="0.25">
      <c r="A36" s="10">
        <v>1991</v>
      </c>
      <c r="B36" s="93">
        <f>'Import 05'!B2</f>
        <v>11.072051</v>
      </c>
      <c r="C36" s="5">
        <v>41239.551378248172</v>
      </c>
      <c r="D36" s="63">
        <f t="shared" ref="D36:D60" si="1">(B36/C36)/100</f>
        <v>2.684813638840882E-6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93">
        <f>'Import 05'!B3</f>
        <v>14.555948000000001</v>
      </c>
      <c r="C37" s="5">
        <v>49279.585355094838</v>
      </c>
      <c r="D37" s="63">
        <f t="shared" si="1"/>
        <v>2.9537480673008777E-6</v>
      </c>
    </row>
    <row r="38" spans="1:10" x14ac:dyDescent="0.25">
      <c r="A38" s="10">
        <v>1993</v>
      </c>
      <c r="B38" s="93">
        <f>'Import 05'!B4</f>
        <v>8.8777670000000004</v>
      </c>
      <c r="C38" s="5">
        <v>55802.540100979531</v>
      </c>
      <c r="D38" s="63">
        <f t="shared" si="1"/>
        <v>1.5909252489106968E-6</v>
      </c>
    </row>
    <row r="39" spans="1:10" x14ac:dyDescent="0.25">
      <c r="A39" s="10">
        <v>1994</v>
      </c>
      <c r="B39" s="93">
        <f>'Import 05'!B5</f>
        <v>30.067668000000001</v>
      </c>
      <c r="C39" s="5">
        <v>81703.496603993364</v>
      </c>
      <c r="D39" s="63">
        <f t="shared" si="1"/>
        <v>3.6800956201096547E-6</v>
      </c>
    </row>
    <row r="40" spans="1:10" x14ac:dyDescent="0.25">
      <c r="A40" s="10">
        <v>1995</v>
      </c>
      <c r="B40" s="93">
        <f>'Import 05'!B6</f>
        <v>30.092663999999999</v>
      </c>
      <c r="C40" s="5">
        <v>92507.277798198498</v>
      </c>
      <c r="D40" s="63">
        <f t="shared" si="1"/>
        <v>3.2530050301173198E-6</v>
      </c>
    </row>
    <row r="41" spans="1:10" x14ac:dyDescent="0.25">
      <c r="A41" s="10">
        <v>1996</v>
      </c>
      <c r="B41" s="93">
        <f>'Import 05'!B7</f>
        <v>26.35585</v>
      </c>
      <c r="C41" s="5">
        <v>97160.111573336981</v>
      </c>
      <c r="D41" s="63">
        <f t="shared" si="1"/>
        <v>2.7126203925884193E-6</v>
      </c>
    </row>
    <row r="42" spans="1:10" x14ac:dyDescent="0.25">
      <c r="A42" s="10">
        <v>1997</v>
      </c>
      <c r="B42" s="93">
        <f>'Import 05'!B8</f>
        <v>33.721240000000002</v>
      </c>
      <c r="C42" s="5">
        <v>106659.5079635281</v>
      </c>
      <c r="D42" s="63">
        <f t="shared" si="1"/>
        <v>3.1615784325135722E-6</v>
      </c>
    </row>
    <row r="43" spans="1:10" x14ac:dyDescent="0.25">
      <c r="A43" s="10">
        <v>1998</v>
      </c>
      <c r="B43" s="93">
        <f>'Import 05'!B9</f>
        <v>28.083924</v>
      </c>
      <c r="C43" s="5">
        <v>98443.743190849113</v>
      </c>
      <c r="D43" s="63">
        <f t="shared" si="1"/>
        <v>2.8527891250086633E-6</v>
      </c>
    </row>
    <row r="44" spans="1:10" x14ac:dyDescent="0.25">
      <c r="A44" s="10">
        <v>1999</v>
      </c>
      <c r="B44" s="93">
        <f>'Import 05'!B10</f>
        <v>23.445456</v>
      </c>
      <c r="C44" s="5">
        <v>86186.156584381664</v>
      </c>
      <c r="D44" s="63">
        <f t="shared" si="1"/>
        <v>2.7203273622075751E-6</v>
      </c>
    </row>
    <row r="45" spans="1:10" x14ac:dyDescent="0.25">
      <c r="A45" s="10">
        <v>2000</v>
      </c>
      <c r="B45" s="93">
        <f>'Import 05'!B11</f>
        <v>22.130406000000001</v>
      </c>
      <c r="C45" s="5">
        <v>99886.577575544405</v>
      </c>
      <c r="D45" s="63">
        <f t="shared" si="1"/>
        <v>2.2155535345339804E-6</v>
      </c>
    </row>
    <row r="46" spans="1:10" x14ac:dyDescent="0.25">
      <c r="A46" s="10">
        <v>2001</v>
      </c>
      <c r="B46" s="93">
        <f>'Import 05'!B12</f>
        <v>17.19295</v>
      </c>
      <c r="C46" s="5">
        <v>98203.544965267793</v>
      </c>
      <c r="D46" s="63">
        <f t="shared" si="1"/>
        <v>1.7507463713332069E-6</v>
      </c>
    </row>
    <row r="47" spans="1:10" x14ac:dyDescent="0.25">
      <c r="A47" s="10">
        <v>2002</v>
      </c>
      <c r="B47" s="93">
        <f>'Import 05'!B13</f>
        <v>16.889787999999999</v>
      </c>
      <c r="C47" s="5">
        <v>97933.392356425262</v>
      </c>
      <c r="D47" s="63">
        <f t="shared" si="1"/>
        <v>1.7246199272389327E-6</v>
      </c>
    </row>
    <row r="48" spans="1:10" x14ac:dyDescent="0.25">
      <c r="A48" s="10">
        <v>2003</v>
      </c>
      <c r="B48" s="93">
        <f>'Import 05'!B14</f>
        <v>14.306723</v>
      </c>
      <c r="C48" s="5">
        <v>94684.582573316715</v>
      </c>
      <c r="D48" s="63">
        <f t="shared" si="1"/>
        <v>1.5109875981046794E-6</v>
      </c>
    </row>
    <row r="49" spans="1:10" x14ac:dyDescent="0.25">
      <c r="A49" s="10">
        <v>2004</v>
      </c>
      <c r="B49" s="93">
        <f>'Import 05'!B15</f>
        <v>16.921779000000001</v>
      </c>
      <c r="C49" s="5">
        <v>117074.86551527939</v>
      </c>
      <c r="D49" s="63">
        <f t="shared" si="1"/>
        <v>1.4453810325147499E-6</v>
      </c>
    </row>
    <row r="50" spans="1:10" x14ac:dyDescent="0.25">
      <c r="A50" s="10">
        <v>2005</v>
      </c>
      <c r="B50" s="93">
        <f>'Import 05'!B16</f>
        <v>22.815715000000001</v>
      </c>
      <c r="C50" s="5">
        <v>146566.26631057015</v>
      </c>
      <c r="D50" s="63">
        <f t="shared" si="1"/>
        <v>1.5566825555652816E-6</v>
      </c>
    </row>
    <row r="51" spans="1:10" x14ac:dyDescent="0.25">
      <c r="A51" s="10">
        <v>2006</v>
      </c>
      <c r="B51" s="93">
        <f>'Import 05'!B17</f>
        <v>25.711245000000002</v>
      </c>
      <c r="C51" s="5">
        <v>162590.1460964143</v>
      </c>
      <c r="D51" s="63">
        <f t="shared" si="1"/>
        <v>1.5813532134200489E-6</v>
      </c>
    </row>
    <row r="52" spans="1:10" x14ac:dyDescent="0.25">
      <c r="A52" s="10">
        <v>2007</v>
      </c>
      <c r="B52" s="93">
        <f>'Import 05'!B18</f>
        <v>37.885289</v>
      </c>
      <c r="C52" s="5">
        <v>207416.49464237894</v>
      </c>
      <c r="D52" s="63">
        <f t="shared" si="1"/>
        <v>1.8265321215326022E-6</v>
      </c>
    </row>
    <row r="53" spans="1:10" x14ac:dyDescent="0.25">
      <c r="A53" s="10">
        <v>2008</v>
      </c>
      <c r="B53" s="93">
        <f>'Import 05'!B19</f>
        <v>41.289866000000004</v>
      </c>
      <c r="C53" s="5">
        <v>243982.43787084011</v>
      </c>
      <c r="D53" s="63">
        <f t="shared" si="1"/>
        <v>1.6923294299509423E-6</v>
      </c>
    </row>
    <row r="54" spans="1:10" x14ac:dyDescent="0.25">
      <c r="A54" s="10">
        <v>2009</v>
      </c>
      <c r="B54" s="93">
        <f>'Import 05'!B20</f>
        <v>54.413074000000002</v>
      </c>
      <c r="C54" s="5">
        <v>233821.6705442575</v>
      </c>
      <c r="D54" s="63">
        <f t="shared" si="1"/>
        <v>2.3271185204239124E-6</v>
      </c>
    </row>
    <row r="55" spans="1:10" x14ac:dyDescent="0.25">
      <c r="A55" s="10">
        <v>2010</v>
      </c>
      <c r="B55" s="93">
        <f>'Import 05'!B21</f>
        <v>50.402794</v>
      </c>
      <c r="C55" s="5">
        <v>287018.18463752925</v>
      </c>
      <c r="D55" s="63">
        <f t="shared" si="1"/>
        <v>1.756083645489323E-6</v>
      </c>
    </row>
    <row r="56" spans="1:10" x14ac:dyDescent="0.25">
      <c r="A56" s="10">
        <v>2011</v>
      </c>
      <c r="B56" s="93">
        <f>'Import 05'!B22</f>
        <v>73.516311000000002</v>
      </c>
      <c r="C56" s="5">
        <v>335415.15670218616</v>
      </c>
      <c r="D56" s="63">
        <f t="shared" si="1"/>
        <v>2.1918005054635874E-6</v>
      </c>
    </row>
    <row r="57" spans="1:10" x14ac:dyDescent="0.25">
      <c r="A57" s="10">
        <v>2012</v>
      </c>
      <c r="B57" s="93">
        <f>'Import 05'!B23</f>
        <v>92.507591000000005</v>
      </c>
      <c r="C57" s="5">
        <v>369659.70037551981</v>
      </c>
      <c r="D57" s="63">
        <f t="shared" si="1"/>
        <v>2.50250678951549E-6</v>
      </c>
    </row>
    <row r="58" spans="1:10" x14ac:dyDescent="0.25">
      <c r="A58" s="10">
        <v>2013</v>
      </c>
      <c r="B58" s="93">
        <f>'Import 05'!B24</f>
        <v>115.993036</v>
      </c>
      <c r="C58" s="5">
        <v>380191.88186037214</v>
      </c>
      <c r="D58" s="63">
        <f t="shared" si="1"/>
        <v>3.0509077530119168E-6</v>
      </c>
    </row>
    <row r="59" spans="1:10" x14ac:dyDescent="0.25">
      <c r="A59" s="10">
        <v>2014</v>
      </c>
      <c r="B59" s="93">
        <f>'Import 05'!B25</f>
        <v>142.43887699999999</v>
      </c>
      <c r="C59" s="5">
        <v>378416.02053371473</v>
      </c>
      <c r="D59" s="63">
        <f t="shared" si="1"/>
        <v>3.7640815734784542E-6</v>
      </c>
    </row>
    <row r="60" spans="1:10" x14ac:dyDescent="0.25">
      <c r="A60" s="11">
        <v>2015</v>
      </c>
      <c r="B60" s="93">
        <f>'Import 05'!B26</f>
        <v>129.08264399999999</v>
      </c>
      <c r="C60" s="6">
        <v>292080.15563330991</v>
      </c>
      <c r="D60" s="63">
        <f t="shared" si="1"/>
        <v>4.4194253361757288E-6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107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8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93">
        <f>'Import 05'!B2</f>
        <v>11.072051</v>
      </c>
      <c r="C66" s="5">
        <v>6174.0429999999997</v>
      </c>
      <c r="D66" s="75">
        <f t="shared" ref="D66:D90" si="2">(B66/C66)/10000</f>
        <v>1.7933226250610825E-7</v>
      </c>
      <c r="E66" s="1"/>
    </row>
    <row r="67" spans="1:5" x14ac:dyDescent="0.25">
      <c r="A67" s="10">
        <v>1992</v>
      </c>
      <c r="B67" s="93">
        <f>'Import 05'!B3</f>
        <v>14.555948000000001</v>
      </c>
      <c r="C67" s="5">
        <v>6539.299</v>
      </c>
      <c r="D67" s="75">
        <f t="shared" si="2"/>
        <v>2.2259187108587632E-7</v>
      </c>
      <c r="E67" s="1"/>
    </row>
    <row r="68" spans="1:5" x14ac:dyDescent="0.25">
      <c r="A68" s="10">
        <v>1993</v>
      </c>
      <c r="B68" s="93">
        <f>'Import 05'!B4</f>
        <v>8.8777670000000004</v>
      </c>
      <c r="C68" s="5">
        <v>6878.7179999999998</v>
      </c>
      <c r="D68" s="75">
        <f t="shared" si="2"/>
        <v>1.290613599801591E-7</v>
      </c>
      <c r="E68" s="1"/>
    </row>
    <row r="69" spans="1:5" x14ac:dyDescent="0.25">
      <c r="A69" s="10">
        <v>1994</v>
      </c>
      <c r="B69" s="93">
        <f>'Import 05'!B5</f>
        <v>30.067668000000001</v>
      </c>
      <c r="C69" s="5">
        <v>7308.7550000000001</v>
      </c>
      <c r="D69" s="75">
        <f t="shared" si="2"/>
        <v>4.113924738207807E-7</v>
      </c>
      <c r="E69" s="1"/>
    </row>
    <row r="70" spans="1:5" x14ac:dyDescent="0.25">
      <c r="A70" s="10">
        <v>1995</v>
      </c>
      <c r="B70" s="93">
        <f>'Import 05'!B6</f>
        <v>30.092663999999999</v>
      </c>
      <c r="C70" s="5">
        <v>7664.06</v>
      </c>
      <c r="D70" s="75">
        <f t="shared" si="2"/>
        <v>3.9264650850854503E-7</v>
      </c>
      <c r="E70" s="1"/>
    </row>
    <row r="71" spans="1:5" x14ac:dyDescent="0.25">
      <c r="A71" s="10">
        <v>1996</v>
      </c>
      <c r="B71" s="93">
        <f>'Import 05'!B7</f>
        <v>26.35585</v>
      </c>
      <c r="C71" s="5">
        <v>8100.201</v>
      </c>
      <c r="D71" s="75">
        <f t="shared" si="2"/>
        <v>3.2537279013199798E-7</v>
      </c>
      <c r="E71" s="1"/>
    </row>
    <row r="72" spans="1:5" x14ac:dyDescent="0.25">
      <c r="A72" s="10">
        <v>1997</v>
      </c>
      <c r="B72" s="93">
        <f>'Import 05'!B8</f>
        <v>33.721240000000002</v>
      </c>
      <c r="C72" s="5">
        <v>8608.5149999999994</v>
      </c>
      <c r="D72" s="75">
        <f t="shared" si="2"/>
        <v>3.917195939137006E-7</v>
      </c>
      <c r="E72" s="1"/>
    </row>
    <row r="73" spans="1:5" x14ac:dyDescent="0.25">
      <c r="A73" s="10">
        <v>1998</v>
      </c>
      <c r="B73" s="93">
        <f>'Import 05'!B9</f>
        <v>28.083924</v>
      </c>
      <c r="C73" s="5">
        <v>9089.1679999999997</v>
      </c>
      <c r="D73" s="75">
        <f t="shared" si="2"/>
        <v>3.0898234029781384E-7</v>
      </c>
      <c r="E73" s="1"/>
    </row>
    <row r="74" spans="1:5" x14ac:dyDescent="0.25">
      <c r="A74" s="10">
        <v>1999</v>
      </c>
      <c r="B74" s="93">
        <f>'Import 05'!B10</f>
        <v>23.445456</v>
      </c>
      <c r="C74" s="5">
        <v>9660.6239999999998</v>
      </c>
      <c r="D74" s="75">
        <f t="shared" si="2"/>
        <v>2.4269090692278264E-7</v>
      </c>
      <c r="E74" s="1"/>
    </row>
    <row r="75" spans="1:5" x14ac:dyDescent="0.25">
      <c r="A75" s="10">
        <v>2000</v>
      </c>
      <c r="B75" s="93">
        <f>'Import 05'!B11</f>
        <v>22.130406000000001</v>
      </c>
      <c r="C75" s="5">
        <v>10284.779</v>
      </c>
      <c r="D75" s="75">
        <f t="shared" si="2"/>
        <v>2.1517629109969209E-7</v>
      </c>
      <c r="E75" s="1"/>
    </row>
    <row r="76" spans="1:5" x14ac:dyDescent="0.25">
      <c r="A76" s="10">
        <v>2001</v>
      </c>
      <c r="B76" s="93">
        <f>'Import 05'!B12</f>
        <v>17.19295</v>
      </c>
      <c r="C76" s="5">
        <v>10621.824000000001</v>
      </c>
      <c r="D76" s="75">
        <f t="shared" si="2"/>
        <v>1.6186438412084404E-7</v>
      </c>
      <c r="E76" s="1"/>
    </row>
    <row r="77" spans="1:5" x14ac:dyDescent="0.25">
      <c r="A77" s="10">
        <v>2002</v>
      </c>
      <c r="B77" s="93">
        <f>'Import 05'!B13</f>
        <v>16.889787999999999</v>
      </c>
      <c r="C77" s="5">
        <v>10977.513999999999</v>
      </c>
      <c r="D77" s="75">
        <f t="shared" si="2"/>
        <v>1.5385804108289E-7</v>
      </c>
      <c r="E77" s="1"/>
    </row>
    <row r="78" spans="1:5" x14ac:dyDescent="0.25">
      <c r="A78" s="10">
        <v>2003</v>
      </c>
      <c r="B78" s="93">
        <f>'Import 05'!B14</f>
        <v>14.306723</v>
      </c>
      <c r="C78" s="5">
        <v>11510.67</v>
      </c>
      <c r="D78" s="75">
        <f t="shared" si="2"/>
        <v>1.2429096655537861E-7</v>
      </c>
      <c r="E78" s="1"/>
    </row>
    <row r="79" spans="1:5" x14ac:dyDescent="0.25">
      <c r="A79" s="10">
        <v>2004</v>
      </c>
      <c r="B79" s="93">
        <f>'Import 05'!B15</f>
        <v>16.921779000000001</v>
      </c>
      <c r="C79" s="5">
        <v>12274.928</v>
      </c>
      <c r="D79" s="75">
        <f t="shared" si="2"/>
        <v>1.378564420092729E-7</v>
      </c>
      <c r="E79" s="1"/>
    </row>
    <row r="80" spans="1:5" x14ac:dyDescent="0.25">
      <c r="A80" s="10">
        <v>2005</v>
      </c>
      <c r="B80" s="93">
        <f>'Import 05'!B16</f>
        <v>22.815715000000001</v>
      </c>
      <c r="C80" s="5">
        <v>13093.726000000001</v>
      </c>
      <c r="D80" s="75">
        <f t="shared" si="2"/>
        <v>1.7424921676228752E-7</v>
      </c>
      <c r="E80" s="1"/>
    </row>
    <row r="81" spans="1:10" x14ac:dyDescent="0.25">
      <c r="A81" s="10">
        <v>2006</v>
      </c>
      <c r="B81" s="93">
        <f>'Import 05'!B17</f>
        <v>25.711245000000002</v>
      </c>
      <c r="C81" s="5">
        <v>13855.888000000001</v>
      </c>
      <c r="D81" s="75">
        <f t="shared" si="2"/>
        <v>1.8556187088117339E-7</v>
      </c>
      <c r="E81" s="1"/>
    </row>
    <row r="82" spans="1:10" x14ac:dyDescent="0.25">
      <c r="A82" s="10">
        <v>2007</v>
      </c>
      <c r="B82" s="93">
        <f>'Import 05'!B18</f>
        <v>37.885289</v>
      </c>
      <c r="C82" s="5">
        <v>14477.635</v>
      </c>
      <c r="D82" s="75">
        <f t="shared" si="2"/>
        <v>2.6168147629084444E-7</v>
      </c>
      <c r="E82" s="1"/>
    </row>
    <row r="83" spans="1:10" x14ac:dyDescent="0.25">
      <c r="A83" s="10">
        <v>2008</v>
      </c>
      <c r="B83" s="93">
        <f>'Import 05'!B19</f>
        <v>41.289866000000004</v>
      </c>
      <c r="C83" s="5">
        <v>14718.582</v>
      </c>
      <c r="D83" s="75">
        <f t="shared" si="2"/>
        <v>2.8052883083438339E-7</v>
      </c>
      <c r="E83" s="1"/>
    </row>
    <row r="84" spans="1:10" x14ac:dyDescent="0.25">
      <c r="A84" s="10">
        <v>2009</v>
      </c>
      <c r="B84" s="93">
        <f>'Import 05'!B20</f>
        <v>54.413074000000002</v>
      </c>
      <c r="C84" s="5">
        <v>14418.739</v>
      </c>
      <c r="D84" s="75">
        <f t="shared" si="2"/>
        <v>3.7737748079079597E-7</v>
      </c>
      <c r="E84" s="1"/>
    </row>
    <row r="85" spans="1:10" x14ac:dyDescent="0.25">
      <c r="A85" s="10">
        <v>2010</v>
      </c>
      <c r="B85" s="93">
        <f>'Import 05'!B21</f>
        <v>50.402794</v>
      </c>
      <c r="C85" s="5">
        <v>14964.371999999999</v>
      </c>
      <c r="D85" s="75">
        <f t="shared" si="2"/>
        <v>3.3681863829634819E-7</v>
      </c>
      <c r="E85" s="1"/>
    </row>
    <row r="86" spans="1:10" x14ac:dyDescent="0.25">
      <c r="A86" s="10">
        <v>2011</v>
      </c>
      <c r="B86" s="93">
        <f>'Import 05'!B22</f>
        <v>73.516311000000002</v>
      </c>
      <c r="C86" s="5">
        <v>15517.925999999999</v>
      </c>
      <c r="D86" s="75">
        <f t="shared" si="2"/>
        <v>4.7375088011116951E-7</v>
      </c>
      <c r="E86" s="1"/>
    </row>
    <row r="87" spans="1:10" x14ac:dyDescent="0.25">
      <c r="A87" s="10">
        <v>2012</v>
      </c>
      <c r="B87" s="93">
        <f>'Import 05'!B23</f>
        <v>92.507591000000005</v>
      </c>
      <c r="C87" s="5">
        <v>16155.254999999999</v>
      </c>
      <c r="D87" s="75">
        <f t="shared" si="2"/>
        <v>5.7261609921972764E-7</v>
      </c>
      <c r="E87" s="1"/>
    </row>
    <row r="88" spans="1:10" x14ac:dyDescent="0.25">
      <c r="A88" s="10">
        <v>2013</v>
      </c>
      <c r="B88" s="93">
        <f>'Import 05'!B24</f>
        <v>115.993036</v>
      </c>
      <c r="C88" s="5">
        <v>16663.16</v>
      </c>
      <c r="D88" s="75">
        <f t="shared" si="2"/>
        <v>6.9610467642391968E-7</v>
      </c>
      <c r="E88" s="1"/>
    </row>
    <row r="89" spans="1:10" x14ac:dyDescent="0.25">
      <c r="A89" s="10">
        <v>2014</v>
      </c>
      <c r="B89" s="93">
        <f>'Import 05'!B25</f>
        <v>142.43887699999999</v>
      </c>
      <c r="C89" s="5">
        <v>17348.071499999998</v>
      </c>
      <c r="D89" s="75">
        <f t="shared" si="2"/>
        <v>8.2106461804702625E-7</v>
      </c>
      <c r="E89" s="1"/>
    </row>
    <row r="90" spans="1:10" x14ac:dyDescent="0.25">
      <c r="A90" s="11">
        <v>2015</v>
      </c>
      <c r="B90" s="93">
        <f>'Import 05'!B26</f>
        <v>129.08264399999999</v>
      </c>
      <c r="C90" s="5">
        <v>17946.995999999999</v>
      </c>
      <c r="D90" s="75">
        <f t="shared" si="2"/>
        <v>7.1924373304590915E-7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60" x14ac:dyDescent="0.25">
      <c r="A95" s="12" t="s">
        <v>3</v>
      </c>
      <c r="B95" s="13" t="s">
        <v>156</v>
      </c>
      <c r="C95" s="13" t="s">
        <v>7</v>
      </c>
      <c r="D95" s="14" t="s">
        <v>43</v>
      </c>
    </row>
    <row r="96" spans="1:10" x14ac:dyDescent="0.25">
      <c r="A96" s="10">
        <v>1991</v>
      </c>
      <c r="B96" s="2">
        <f t="shared" ref="B96:B120" si="3">B7</f>
        <v>175.03537600000001</v>
      </c>
      <c r="C96" s="5">
        <v>6174.0429999999997</v>
      </c>
      <c r="D96" s="75">
        <f t="shared" ref="D96:D120" si="4">(B96/C96)/10000</f>
        <v>2.8350203586207616E-6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>
        <f t="shared" si="3"/>
        <v>158.547056</v>
      </c>
      <c r="C97" s="5">
        <v>6539.299</v>
      </c>
      <c r="D97" s="75">
        <f t="shared" si="4"/>
        <v>2.424526787963052E-6</v>
      </c>
    </row>
    <row r="98" spans="1:4" x14ac:dyDescent="0.25">
      <c r="A98" s="10">
        <v>1993</v>
      </c>
      <c r="B98" s="2">
        <f t="shared" si="3"/>
        <v>210.10672</v>
      </c>
      <c r="C98" s="5">
        <v>6878.7179999999998</v>
      </c>
      <c r="D98" s="75">
        <f t="shared" si="4"/>
        <v>3.0544459011112246E-6</v>
      </c>
    </row>
    <row r="99" spans="1:4" x14ac:dyDescent="0.25">
      <c r="A99" s="10">
        <v>1994</v>
      </c>
      <c r="B99" s="2">
        <f t="shared" si="3"/>
        <v>243.64107200000001</v>
      </c>
      <c r="C99" s="5">
        <v>7308.7550000000001</v>
      </c>
      <c r="D99" s="75">
        <f t="shared" si="4"/>
        <v>3.3335509536165875E-6</v>
      </c>
    </row>
    <row r="100" spans="1:4" x14ac:dyDescent="0.25">
      <c r="A100" s="10">
        <v>1995</v>
      </c>
      <c r="B100" s="2">
        <f t="shared" si="3"/>
        <v>177.53075200000001</v>
      </c>
      <c r="C100" s="5">
        <v>7664.06</v>
      </c>
      <c r="D100" s="75">
        <f t="shared" si="4"/>
        <v>2.3164060824158472E-6</v>
      </c>
    </row>
    <row r="101" spans="1:4" x14ac:dyDescent="0.25">
      <c r="A101" s="10">
        <v>1996</v>
      </c>
      <c r="B101" s="2">
        <f t="shared" si="3"/>
        <v>149.02027200000001</v>
      </c>
      <c r="C101" s="5">
        <v>8100.201</v>
      </c>
      <c r="D101" s="75">
        <f t="shared" si="4"/>
        <v>1.8397107923618191E-6</v>
      </c>
    </row>
    <row r="102" spans="1:4" x14ac:dyDescent="0.25">
      <c r="A102" s="10">
        <v>1997</v>
      </c>
      <c r="B102" s="2">
        <f t="shared" si="3"/>
        <v>183.25291200000001</v>
      </c>
      <c r="C102" s="5">
        <v>8608.5149999999994</v>
      </c>
      <c r="D102" s="75">
        <f t="shared" si="4"/>
        <v>2.1287401137129927E-6</v>
      </c>
    </row>
    <row r="103" spans="1:4" x14ac:dyDescent="0.25">
      <c r="A103" s="10">
        <v>1998</v>
      </c>
      <c r="B103" s="2">
        <f t="shared" si="3"/>
        <v>160.56084799999999</v>
      </c>
      <c r="C103" s="5">
        <v>9089.1679999999997</v>
      </c>
      <c r="D103" s="75">
        <f t="shared" si="4"/>
        <v>1.7665076495450408E-6</v>
      </c>
    </row>
    <row r="104" spans="1:4" x14ac:dyDescent="0.25">
      <c r="A104" s="10">
        <v>1999</v>
      </c>
      <c r="B104" s="2">
        <f t="shared" si="3"/>
        <v>233.62775999999999</v>
      </c>
      <c r="C104" s="5">
        <v>9660.6239999999998</v>
      </c>
      <c r="D104" s="75">
        <f t="shared" si="4"/>
        <v>2.4183506158608389E-6</v>
      </c>
    </row>
    <row r="105" spans="1:4" x14ac:dyDescent="0.25">
      <c r="A105" s="10">
        <v>2000</v>
      </c>
      <c r="B105" s="2">
        <f t="shared" si="3"/>
        <v>205.67479800000001</v>
      </c>
      <c r="C105" s="5">
        <v>10284.779</v>
      </c>
      <c r="D105" s="75">
        <f t="shared" si="4"/>
        <v>1.999797934403841E-6</v>
      </c>
    </row>
    <row r="106" spans="1:4" x14ac:dyDescent="0.25">
      <c r="A106" s="10">
        <v>2001</v>
      </c>
      <c r="B106" s="2">
        <f t="shared" si="3"/>
        <v>180.33841799999999</v>
      </c>
      <c r="C106" s="5">
        <v>10621.824000000001</v>
      </c>
      <c r="D106" s="75">
        <f t="shared" si="4"/>
        <v>1.6978102630960556E-6</v>
      </c>
    </row>
    <row r="107" spans="1:4" x14ac:dyDescent="0.25">
      <c r="A107" s="10">
        <v>2002</v>
      </c>
      <c r="B107" s="2">
        <f t="shared" si="3"/>
        <v>188.665188</v>
      </c>
      <c r="C107" s="5">
        <v>10977.513999999999</v>
      </c>
      <c r="D107" s="75">
        <f t="shared" si="4"/>
        <v>1.7186513084838698E-6</v>
      </c>
    </row>
    <row r="108" spans="1:4" x14ac:dyDescent="0.25">
      <c r="A108" s="10">
        <v>2003</v>
      </c>
      <c r="B108" s="2">
        <f t="shared" si="3"/>
        <v>177.883725</v>
      </c>
      <c r="C108" s="5">
        <v>11510.67</v>
      </c>
      <c r="D108" s="75">
        <f t="shared" si="4"/>
        <v>1.5453811550500535E-6</v>
      </c>
    </row>
    <row r="109" spans="1:4" x14ac:dyDescent="0.25">
      <c r="A109" s="10">
        <v>2004</v>
      </c>
      <c r="B109" s="2">
        <f t="shared" si="3"/>
        <v>170.255897</v>
      </c>
      <c r="C109" s="5">
        <v>12274.928</v>
      </c>
      <c r="D109" s="75">
        <f t="shared" si="4"/>
        <v>1.3870215532017787E-6</v>
      </c>
    </row>
    <row r="110" spans="1:4" x14ac:dyDescent="0.25">
      <c r="A110" s="10">
        <v>2005</v>
      </c>
      <c r="B110" s="2">
        <f t="shared" si="3"/>
        <v>209.21320399999999</v>
      </c>
      <c r="C110" s="5">
        <v>13093.726000000001</v>
      </c>
      <c r="D110" s="75">
        <f t="shared" si="4"/>
        <v>1.5978126012412355E-6</v>
      </c>
    </row>
    <row r="111" spans="1:4" x14ac:dyDescent="0.25">
      <c r="A111" s="10">
        <v>2006</v>
      </c>
      <c r="B111" s="2">
        <f t="shared" si="3"/>
        <v>205.68426400000001</v>
      </c>
      <c r="C111" s="5">
        <v>13855.888000000001</v>
      </c>
      <c r="D111" s="75">
        <f t="shared" si="4"/>
        <v>1.4844538581720638E-6</v>
      </c>
    </row>
    <row r="112" spans="1:4" x14ac:dyDescent="0.25">
      <c r="A112" s="10">
        <v>2007</v>
      </c>
      <c r="B112" s="2">
        <f t="shared" si="3"/>
        <v>179.43127200000001</v>
      </c>
      <c r="C112" s="5">
        <v>14477.635</v>
      </c>
      <c r="D112" s="75">
        <f t="shared" si="4"/>
        <v>1.239368667603514E-6</v>
      </c>
    </row>
    <row r="113" spans="1:10" x14ac:dyDescent="0.25">
      <c r="A113" s="10">
        <v>2008</v>
      </c>
      <c r="B113" s="2">
        <f t="shared" si="3"/>
        <v>208.32001099999999</v>
      </c>
      <c r="C113" s="5">
        <v>14718.582</v>
      </c>
      <c r="D113" s="75">
        <f t="shared" si="4"/>
        <v>1.4153538092188501E-6</v>
      </c>
    </row>
    <row r="114" spans="1:10" x14ac:dyDescent="0.25">
      <c r="A114" s="10">
        <v>2009</v>
      </c>
      <c r="B114" s="2">
        <f t="shared" si="3"/>
        <v>292.94803100000001</v>
      </c>
      <c r="C114" s="5">
        <v>14418.739</v>
      </c>
      <c r="D114" s="75">
        <f t="shared" si="4"/>
        <v>2.031717413013718E-6</v>
      </c>
    </row>
    <row r="115" spans="1:10" x14ac:dyDescent="0.25">
      <c r="A115" s="10">
        <v>2010</v>
      </c>
      <c r="B115" s="2">
        <f t="shared" si="3"/>
        <v>265.840957</v>
      </c>
      <c r="C115" s="5">
        <v>14964.371999999999</v>
      </c>
      <c r="D115" s="75">
        <f t="shared" si="4"/>
        <v>1.7764925718232613E-6</v>
      </c>
    </row>
    <row r="116" spans="1:10" x14ac:dyDescent="0.25">
      <c r="A116" s="10">
        <v>2011</v>
      </c>
      <c r="B116" s="2">
        <f t="shared" si="3"/>
        <v>233.95684900000001</v>
      </c>
      <c r="C116" s="5">
        <v>15517.925999999999</v>
      </c>
      <c r="D116" s="75">
        <f t="shared" si="4"/>
        <v>1.5076553980216171E-6</v>
      </c>
    </row>
    <row r="117" spans="1:10" x14ac:dyDescent="0.25">
      <c r="A117" s="10">
        <v>2012</v>
      </c>
      <c r="B117" s="2">
        <f t="shared" si="3"/>
        <v>268.91415699999999</v>
      </c>
      <c r="C117" s="5">
        <v>16155.254999999999</v>
      </c>
      <c r="D117" s="75">
        <f t="shared" si="4"/>
        <v>1.6645615126471233E-6</v>
      </c>
    </row>
    <row r="118" spans="1:10" x14ac:dyDescent="0.25">
      <c r="A118" s="10">
        <v>2013</v>
      </c>
      <c r="B118" s="2">
        <f t="shared" si="3"/>
        <v>242.415783</v>
      </c>
      <c r="C118" s="5">
        <v>16663.16</v>
      </c>
      <c r="D118" s="75">
        <f t="shared" si="4"/>
        <v>1.4548007880858133E-6</v>
      </c>
    </row>
    <row r="119" spans="1:10" x14ac:dyDescent="0.25">
      <c r="A119" s="10">
        <v>2014</v>
      </c>
      <c r="B119" s="2">
        <f t="shared" si="3"/>
        <v>266.42256800000001</v>
      </c>
      <c r="C119" s="5">
        <v>17348.071499999998</v>
      </c>
      <c r="D119" s="75">
        <f t="shared" si="4"/>
        <v>1.535747463341963E-6</v>
      </c>
    </row>
    <row r="120" spans="1:10" x14ac:dyDescent="0.25">
      <c r="A120" s="11">
        <v>2015</v>
      </c>
      <c r="B120" s="2">
        <f t="shared" si="3"/>
        <v>209.47781000000001</v>
      </c>
      <c r="C120" s="5">
        <v>17946.995999999999</v>
      </c>
      <c r="D120" s="75">
        <f t="shared" si="4"/>
        <v>1.1672026338001079E-6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147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3">
        <f t="shared" ref="B125:B149" si="5">B7+B36</f>
        <v>186.107427</v>
      </c>
      <c r="C125" s="5">
        <v>41239.551378248201</v>
      </c>
      <c r="D125" s="63">
        <f t="shared" ref="D125:D149" si="6">(B125/C125)/100</f>
        <v>4.5128383015864317E-5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3">
        <f t="shared" si="5"/>
        <v>173.103004</v>
      </c>
      <c r="C126" s="5">
        <v>49279.585355094838</v>
      </c>
      <c r="D126" s="63">
        <f t="shared" si="6"/>
        <v>3.5126716824556949E-5</v>
      </c>
      <c r="I126" s="42"/>
    </row>
    <row r="127" spans="1:10" x14ac:dyDescent="0.25">
      <c r="A127" s="10">
        <v>1993</v>
      </c>
      <c r="B127" s="3">
        <f t="shared" si="5"/>
        <v>218.984487</v>
      </c>
      <c r="C127" s="5">
        <v>55802.540100979531</v>
      </c>
      <c r="D127" s="63">
        <f t="shared" si="6"/>
        <v>3.9242745330898665E-5</v>
      </c>
    </row>
    <row r="128" spans="1:10" x14ac:dyDescent="0.25">
      <c r="A128" s="10">
        <v>1994</v>
      </c>
      <c r="B128" s="3">
        <f t="shared" si="5"/>
        <v>273.70874000000003</v>
      </c>
      <c r="C128" s="5">
        <v>81703.496603993364</v>
      </c>
      <c r="D128" s="63">
        <f t="shared" si="6"/>
        <v>3.3500248015899743E-5</v>
      </c>
    </row>
    <row r="129" spans="1:4" x14ac:dyDescent="0.25">
      <c r="A129" s="10">
        <v>1995</v>
      </c>
      <c r="B129" s="3">
        <f t="shared" si="5"/>
        <v>207.62341600000002</v>
      </c>
      <c r="C129" s="5">
        <v>92507.277798198498</v>
      </c>
      <c r="D129" s="63">
        <f t="shared" si="6"/>
        <v>2.2444008832788647E-5</v>
      </c>
    </row>
    <row r="130" spans="1:4" x14ac:dyDescent="0.25">
      <c r="A130" s="10">
        <v>1996</v>
      </c>
      <c r="B130" s="3">
        <f t="shared" si="5"/>
        <v>175.37612200000001</v>
      </c>
      <c r="C130" s="5">
        <v>97160.111573336981</v>
      </c>
      <c r="D130" s="63">
        <f t="shared" si="6"/>
        <v>1.8050218259334249E-5</v>
      </c>
    </row>
    <row r="131" spans="1:4" x14ac:dyDescent="0.25">
      <c r="A131" s="10">
        <v>1997</v>
      </c>
      <c r="B131" s="3">
        <f t="shared" si="5"/>
        <v>216.974152</v>
      </c>
      <c r="C131" s="5">
        <v>106659.5079635281</v>
      </c>
      <c r="D131" s="63">
        <f t="shared" si="6"/>
        <v>2.0342692005872899E-5</v>
      </c>
    </row>
    <row r="132" spans="1:4" x14ac:dyDescent="0.25">
      <c r="A132" s="10">
        <v>1998</v>
      </c>
      <c r="B132" s="3">
        <f t="shared" si="5"/>
        <v>188.64477199999999</v>
      </c>
      <c r="C132" s="5">
        <v>98443.743190849113</v>
      </c>
      <c r="D132" s="63">
        <f t="shared" si="6"/>
        <v>1.9162697992322541E-5</v>
      </c>
    </row>
    <row r="133" spans="1:4" x14ac:dyDescent="0.25">
      <c r="A133" s="10">
        <v>1999</v>
      </c>
      <c r="B133" s="3">
        <f t="shared" si="5"/>
        <v>257.073216</v>
      </c>
      <c r="C133" s="5">
        <v>86186.156584381664</v>
      </c>
      <c r="D133" s="63">
        <f t="shared" si="6"/>
        <v>2.9827669104644338E-5</v>
      </c>
    </row>
    <row r="134" spans="1:4" x14ac:dyDescent="0.25">
      <c r="A134" s="10">
        <v>2000</v>
      </c>
      <c r="B134" s="3">
        <f t="shared" si="5"/>
        <v>227.805204</v>
      </c>
      <c r="C134" s="5">
        <v>99886.577575544405</v>
      </c>
      <c r="D134" s="63">
        <f t="shared" si="6"/>
        <v>2.2806387958152886E-5</v>
      </c>
    </row>
    <row r="135" spans="1:4" x14ac:dyDescent="0.25">
      <c r="A135" s="10">
        <v>2001</v>
      </c>
      <c r="B135" s="3">
        <f t="shared" si="5"/>
        <v>197.53136799999999</v>
      </c>
      <c r="C135" s="5">
        <v>98203.544965267793</v>
      </c>
      <c r="D135" s="63">
        <f t="shared" si="6"/>
        <v>2.0114484468952932E-5</v>
      </c>
    </row>
    <row r="136" spans="1:4" x14ac:dyDescent="0.25">
      <c r="A136" s="10">
        <v>2002</v>
      </c>
      <c r="B136" s="3">
        <f t="shared" si="5"/>
        <v>205.55497600000001</v>
      </c>
      <c r="C136" s="5">
        <v>97933.392356425305</v>
      </c>
      <c r="D136" s="63">
        <f t="shared" si="6"/>
        <v>2.0989263320103273E-5</v>
      </c>
    </row>
    <row r="137" spans="1:4" x14ac:dyDescent="0.25">
      <c r="A137" s="10">
        <v>2003</v>
      </c>
      <c r="B137" s="3">
        <f t="shared" si="5"/>
        <v>192.190448</v>
      </c>
      <c r="C137" s="5">
        <v>94684.582573316715</v>
      </c>
      <c r="D137" s="63">
        <f t="shared" si="6"/>
        <v>2.0297966445718022E-5</v>
      </c>
    </row>
    <row r="138" spans="1:4" x14ac:dyDescent="0.25">
      <c r="A138" s="10">
        <v>2004</v>
      </c>
      <c r="B138" s="3">
        <f t="shared" si="5"/>
        <v>187.17767600000002</v>
      </c>
      <c r="C138" s="5">
        <v>117074.86551527939</v>
      </c>
      <c r="D138" s="63">
        <f t="shared" si="6"/>
        <v>1.5987861713629005E-5</v>
      </c>
    </row>
    <row r="139" spans="1:4" x14ac:dyDescent="0.25">
      <c r="A139" s="10">
        <v>2005</v>
      </c>
      <c r="B139" s="3">
        <f t="shared" si="5"/>
        <v>232.028919</v>
      </c>
      <c r="C139" s="5">
        <v>146566.26631057015</v>
      </c>
      <c r="D139" s="63">
        <f t="shared" si="6"/>
        <v>1.5830990639301455E-5</v>
      </c>
    </row>
    <row r="140" spans="1:4" x14ac:dyDescent="0.25">
      <c r="A140" s="10">
        <v>2006</v>
      </c>
      <c r="B140" s="3">
        <f t="shared" si="5"/>
        <v>231.395509</v>
      </c>
      <c r="C140" s="5">
        <v>162590.1460964143</v>
      </c>
      <c r="D140" s="63">
        <f t="shared" si="6"/>
        <v>1.4231828592046706E-5</v>
      </c>
    </row>
    <row r="141" spans="1:4" x14ac:dyDescent="0.25">
      <c r="A141" s="10">
        <v>2007</v>
      </c>
      <c r="B141" s="3">
        <f t="shared" si="5"/>
        <v>217.31656100000001</v>
      </c>
      <c r="C141" s="5">
        <v>207416.49464237894</v>
      </c>
      <c r="D141" s="63">
        <f t="shared" si="6"/>
        <v>1.0477303715632186E-5</v>
      </c>
    </row>
    <row r="142" spans="1:4" x14ac:dyDescent="0.25">
      <c r="A142" s="10">
        <v>2008</v>
      </c>
      <c r="B142" s="3">
        <f t="shared" si="5"/>
        <v>249.60987699999998</v>
      </c>
      <c r="C142" s="5">
        <v>243982.43787084011</v>
      </c>
      <c r="D142" s="63">
        <f t="shared" si="6"/>
        <v>1.0230649352398838E-5</v>
      </c>
    </row>
    <row r="143" spans="1:4" x14ac:dyDescent="0.25">
      <c r="A143" s="10">
        <v>2009</v>
      </c>
      <c r="B143" s="3">
        <f t="shared" si="5"/>
        <v>347.36110500000001</v>
      </c>
      <c r="C143" s="5">
        <v>233821.6705442575</v>
      </c>
      <c r="D143" s="63">
        <f t="shared" si="6"/>
        <v>1.4855813158440843E-5</v>
      </c>
    </row>
    <row r="144" spans="1:4" x14ac:dyDescent="0.25">
      <c r="A144" s="10">
        <v>2010</v>
      </c>
      <c r="B144" s="3">
        <f t="shared" si="5"/>
        <v>316.24375099999997</v>
      </c>
      <c r="C144" s="5">
        <v>287018.18463752925</v>
      </c>
      <c r="D144" s="63">
        <f t="shared" si="6"/>
        <v>1.1018247899497351E-5</v>
      </c>
    </row>
    <row r="145" spans="1:10" x14ac:dyDescent="0.25">
      <c r="A145" s="10">
        <v>2011</v>
      </c>
      <c r="B145" s="3">
        <f t="shared" si="5"/>
        <v>307.47316000000001</v>
      </c>
      <c r="C145" s="5">
        <v>335415.15670218616</v>
      </c>
      <c r="D145" s="63">
        <f t="shared" si="6"/>
        <v>9.166942931949979E-6</v>
      </c>
    </row>
    <row r="146" spans="1:10" x14ac:dyDescent="0.25">
      <c r="A146" s="10">
        <v>2012</v>
      </c>
      <c r="B146" s="3">
        <f t="shared" si="5"/>
        <v>361.42174799999998</v>
      </c>
      <c r="C146" s="5">
        <v>369659.70037551981</v>
      </c>
      <c r="D146" s="63">
        <f t="shared" si="6"/>
        <v>9.7771476748168293E-6</v>
      </c>
    </row>
    <row r="147" spans="1:10" x14ac:dyDescent="0.25">
      <c r="A147" s="10">
        <v>2013</v>
      </c>
      <c r="B147" s="3">
        <f t="shared" si="5"/>
        <v>358.40881899999999</v>
      </c>
      <c r="C147" s="5">
        <v>380191.88186037214</v>
      </c>
      <c r="D147" s="63">
        <f t="shared" si="6"/>
        <v>9.427050815662284E-6</v>
      </c>
    </row>
    <row r="148" spans="1:10" x14ac:dyDescent="0.25">
      <c r="A148" s="10">
        <v>2014</v>
      </c>
      <c r="B148" s="3">
        <f t="shared" si="5"/>
        <v>408.861445</v>
      </c>
      <c r="C148" s="5">
        <v>378416.02053371473</v>
      </c>
      <c r="D148" s="63">
        <f t="shared" si="6"/>
        <v>1.0804549036358061E-5</v>
      </c>
    </row>
    <row r="149" spans="1:10" x14ac:dyDescent="0.25">
      <c r="A149" s="11">
        <v>2015</v>
      </c>
      <c r="B149" s="3">
        <f t="shared" si="5"/>
        <v>338.56045399999999</v>
      </c>
      <c r="C149" s="6">
        <v>292080.15563330991</v>
      </c>
      <c r="D149" s="63">
        <f t="shared" si="6"/>
        <v>1.159135420432477E-5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45" x14ac:dyDescent="0.25">
      <c r="A153" s="12" t="s">
        <v>3</v>
      </c>
      <c r="B153" s="13" t="s">
        <v>148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80">
        <f t="shared" ref="B154:B178" si="7">B125</f>
        <v>186.107427</v>
      </c>
      <c r="C154" s="5">
        <v>6174.0429999999997</v>
      </c>
      <c r="D154" s="19">
        <f t="shared" ref="D154:D178" si="8">(B154/C154)/10000</f>
        <v>3.0143526211268697E-6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80">
        <f t="shared" si="7"/>
        <v>173.103004</v>
      </c>
      <c r="C155" s="5">
        <v>6539.299</v>
      </c>
      <c r="D155" s="19">
        <f t="shared" si="8"/>
        <v>2.6471186590489285E-6</v>
      </c>
    </row>
    <row r="156" spans="1:10" x14ac:dyDescent="0.25">
      <c r="A156" s="10">
        <v>1993</v>
      </c>
      <c r="B156" s="80">
        <f t="shared" si="7"/>
        <v>218.984487</v>
      </c>
      <c r="C156" s="5">
        <v>6878.7179999999998</v>
      </c>
      <c r="D156" s="19">
        <f t="shared" si="8"/>
        <v>3.1835072610913839E-6</v>
      </c>
    </row>
    <row r="157" spans="1:10" x14ac:dyDescent="0.25">
      <c r="A157" s="10">
        <v>1994</v>
      </c>
      <c r="B157" s="80">
        <f t="shared" si="7"/>
        <v>273.70874000000003</v>
      </c>
      <c r="C157" s="5">
        <v>7308.7550000000001</v>
      </c>
      <c r="D157" s="19">
        <f t="shared" si="8"/>
        <v>3.744943427437368E-6</v>
      </c>
    </row>
    <row r="158" spans="1:10" x14ac:dyDescent="0.25">
      <c r="A158" s="10">
        <v>1995</v>
      </c>
      <c r="B158" s="80">
        <f t="shared" si="7"/>
        <v>207.62341600000002</v>
      </c>
      <c r="C158" s="5">
        <v>7664.06</v>
      </c>
      <c r="D158" s="19">
        <f t="shared" si="8"/>
        <v>2.7090525909243927E-6</v>
      </c>
    </row>
    <row r="159" spans="1:10" x14ac:dyDescent="0.25">
      <c r="A159" s="10">
        <v>1996</v>
      </c>
      <c r="B159" s="80">
        <f t="shared" si="7"/>
        <v>175.37612200000001</v>
      </c>
      <c r="C159" s="5">
        <v>8100.201</v>
      </c>
      <c r="D159" s="19">
        <f t="shared" si="8"/>
        <v>2.1650835824938174E-6</v>
      </c>
    </row>
    <row r="160" spans="1:10" x14ac:dyDescent="0.25">
      <c r="A160" s="10">
        <v>1997</v>
      </c>
      <c r="B160" s="80">
        <f t="shared" si="7"/>
        <v>216.974152</v>
      </c>
      <c r="C160" s="5">
        <v>8608.5149999999994</v>
      </c>
      <c r="D160" s="19">
        <f t="shared" si="8"/>
        <v>2.5204597076266933E-6</v>
      </c>
    </row>
    <row r="161" spans="1:4" x14ac:dyDescent="0.25">
      <c r="A161" s="10">
        <v>1998</v>
      </c>
      <c r="B161" s="80">
        <f t="shared" si="7"/>
        <v>188.64477199999999</v>
      </c>
      <c r="C161" s="5">
        <v>9089.1679999999997</v>
      </c>
      <c r="D161" s="19">
        <f t="shared" si="8"/>
        <v>2.0754899898428548E-6</v>
      </c>
    </row>
    <row r="162" spans="1:4" x14ac:dyDescent="0.25">
      <c r="A162" s="10">
        <v>1999</v>
      </c>
      <c r="B162" s="80">
        <f t="shared" si="7"/>
        <v>257.073216</v>
      </c>
      <c r="C162" s="5">
        <v>9660.6239999999998</v>
      </c>
      <c r="D162" s="19">
        <f t="shared" si="8"/>
        <v>2.6610415227836212E-6</v>
      </c>
    </row>
    <row r="163" spans="1:4" x14ac:dyDescent="0.25">
      <c r="A163" s="10">
        <v>2000</v>
      </c>
      <c r="B163" s="80">
        <f t="shared" si="7"/>
        <v>227.805204</v>
      </c>
      <c r="C163" s="5">
        <v>10284.779</v>
      </c>
      <c r="D163" s="19">
        <f t="shared" si="8"/>
        <v>2.2149742255035331E-6</v>
      </c>
    </row>
    <row r="164" spans="1:4" x14ac:dyDescent="0.25">
      <c r="A164" s="10">
        <v>2001</v>
      </c>
      <c r="B164" s="80">
        <f t="shared" si="7"/>
        <v>197.53136799999999</v>
      </c>
      <c r="C164" s="5">
        <v>10621.824000000001</v>
      </c>
      <c r="D164" s="19">
        <f t="shared" si="8"/>
        <v>1.8596746472168995E-6</v>
      </c>
    </row>
    <row r="165" spans="1:4" x14ac:dyDescent="0.25">
      <c r="A165" s="10">
        <v>2002</v>
      </c>
      <c r="B165" s="80">
        <f t="shared" si="7"/>
        <v>205.55497600000001</v>
      </c>
      <c r="C165" s="5">
        <v>10977.513999999999</v>
      </c>
      <c r="D165" s="19">
        <f t="shared" si="8"/>
        <v>1.8725093495667599E-6</v>
      </c>
    </row>
    <row r="166" spans="1:4" x14ac:dyDescent="0.25">
      <c r="A166" s="10">
        <v>2003</v>
      </c>
      <c r="B166" s="80">
        <f t="shared" si="7"/>
        <v>192.190448</v>
      </c>
      <c r="C166" s="5">
        <v>11510.67</v>
      </c>
      <c r="D166" s="19">
        <f t="shared" si="8"/>
        <v>1.6696721216054321E-6</v>
      </c>
    </row>
    <row r="167" spans="1:4" x14ac:dyDescent="0.25">
      <c r="A167" s="10">
        <v>2004</v>
      </c>
      <c r="B167" s="80">
        <f t="shared" si="7"/>
        <v>187.17767600000002</v>
      </c>
      <c r="C167" s="5">
        <v>12274.928</v>
      </c>
      <c r="D167" s="19">
        <f t="shared" si="8"/>
        <v>1.5248779952110515E-6</v>
      </c>
    </row>
    <row r="168" spans="1:4" x14ac:dyDescent="0.25">
      <c r="A168" s="10">
        <v>2005</v>
      </c>
      <c r="B168" s="80">
        <f t="shared" si="7"/>
        <v>232.028919</v>
      </c>
      <c r="C168" s="5">
        <v>13093.726000000001</v>
      </c>
      <c r="D168" s="19">
        <f t="shared" si="8"/>
        <v>1.7720618180035229E-6</v>
      </c>
    </row>
    <row r="169" spans="1:4" x14ac:dyDescent="0.25">
      <c r="A169" s="10">
        <v>2006</v>
      </c>
      <c r="B169" s="80">
        <f t="shared" si="7"/>
        <v>231.395509</v>
      </c>
      <c r="C169" s="5">
        <v>13855.888000000001</v>
      </c>
      <c r="D169" s="19">
        <f t="shared" si="8"/>
        <v>1.670015729053237E-6</v>
      </c>
    </row>
    <row r="170" spans="1:4" x14ac:dyDescent="0.25">
      <c r="A170" s="10">
        <v>2007</v>
      </c>
      <c r="B170" s="80">
        <f t="shared" si="7"/>
        <v>217.31656100000001</v>
      </c>
      <c r="C170" s="5">
        <v>14477.635</v>
      </c>
      <c r="D170" s="19">
        <f t="shared" si="8"/>
        <v>1.5010501438943586E-6</v>
      </c>
    </row>
    <row r="171" spans="1:4" x14ac:dyDescent="0.25">
      <c r="A171" s="10">
        <v>2008</v>
      </c>
      <c r="B171" s="80">
        <f t="shared" si="7"/>
        <v>249.60987699999998</v>
      </c>
      <c r="C171" s="5">
        <v>14718.582</v>
      </c>
      <c r="D171" s="19">
        <f t="shared" si="8"/>
        <v>1.6958826400532333E-6</v>
      </c>
    </row>
    <row r="172" spans="1:4" x14ac:dyDescent="0.25">
      <c r="A172" s="10">
        <v>2009</v>
      </c>
      <c r="B172" s="80">
        <f t="shared" si="7"/>
        <v>347.36110500000001</v>
      </c>
      <c r="C172" s="5">
        <v>14418.739</v>
      </c>
      <c r="D172" s="19">
        <f t="shared" si="8"/>
        <v>2.409094893804514E-6</v>
      </c>
    </row>
    <row r="173" spans="1:4" x14ac:dyDescent="0.25">
      <c r="A173" s="10">
        <v>2010</v>
      </c>
      <c r="B173" s="80">
        <f t="shared" si="7"/>
        <v>316.24375099999997</v>
      </c>
      <c r="C173" s="5">
        <v>14964.371999999999</v>
      </c>
      <c r="D173" s="19">
        <f t="shared" si="8"/>
        <v>2.1133112101196091E-6</v>
      </c>
    </row>
    <row r="174" spans="1:4" x14ac:dyDescent="0.25">
      <c r="A174" s="10">
        <v>2011</v>
      </c>
      <c r="B174" s="80">
        <f t="shared" si="7"/>
        <v>307.47316000000001</v>
      </c>
      <c r="C174" s="5">
        <v>15517.925999999999</v>
      </c>
      <c r="D174" s="19">
        <f t="shared" si="8"/>
        <v>1.9814062781327867E-6</v>
      </c>
    </row>
    <row r="175" spans="1:4" x14ac:dyDescent="0.25">
      <c r="A175" s="10">
        <v>2012</v>
      </c>
      <c r="B175" s="80">
        <f t="shared" si="7"/>
        <v>361.42174799999998</v>
      </c>
      <c r="C175" s="5">
        <v>16155.254999999999</v>
      </c>
      <c r="D175" s="19">
        <f t="shared" si="8"/>
        <v>2.2371776118668507E-6</v>
      </c>
    </row>
    <row r="176" spans="1:4" x14ac:dyDescent="0.25">
      <c r="A176" s="10">
        <v>2013</v>
      </c>
      <c r="B176" s="80">
        <f t="shared" si="7"/>
        <v>358.40881899999999</v>
      </c>
      <c r="C176" s="5">
        <v>16663.16</v>
      </c>
      <c r="D176" s="19">
        <f t="shared" si="8"/>
        <v>2.1509054645097329E-6</v>
      </c>
    </row>
    <row r="177" spans="1:10" x14ac:dyDescent="0.25">
      <c r="A177" s="10">
        <v>2014</v>
      </c>
      <c r="B177" s="80">
        <f t="shared" si="7"/>
        <v>408.861445</v>
      </c>
      <c r="C177" s="5">
        <v>17348.071499999998</v>
      </c>
      <c r="D177" s="19">
        <f t="shared" si="8"/>
        <v>2.356812081388989E-6</v>
      </c>
    </row>
    <row r="178" spans="1:10" x14ac:dyDescent="0.25">
      <c r="A178" s="11">
        <v>2015</v>
      </c>
      <c r="B178" s="80">
        <f t="shared" si="7"/>
        <v>338.56045399999999</v>
      </c>
      <c r="C178" s="5">
        <v>17946.995999999999</v>
      </c>
      <c r="D178" s="19">
        <f t="shared" si="8"/>
        <v>1.886446366846017E-6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75" x14ac:dyDescent="0.25">
      <c r="A183" s="12" t="s">
        <v>3</v>
      </c>
      <c r="B183" s="13" t="s">
        <v>149</v>
      </c>
      <c r="C183" s="13" t="s">
        <v>150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80">
        <f t="shared" ref="B184:B208" si="9">B154</f>
        <v>186.107427</v>
      </c>
      <c r="C184" s="80">
        <f>Tabla11619264096[[#This Row],[Balanza Comercial Absoluta Colombia 
(US$ millones)]]/2</f>
        <v>93.053713500000001</v>
      </c>
      <c r="D184" s="5">
        <v>41239.551378248201</v>
      </c>
      <c r="E184" s="63">
        <f t="shared" ref="E184:E208" si="10">C184/(D184*100)</f>
        <v>2.2564191507932159E-5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80">
        <f t="shared" si="9"/>
        <v>173.103004</v>
      </c>
      <c r="C185" s="80">
        <f>Tabla11619264096[[#This Row],[Balanza Comercial Absoluta Colombia 
(US$ millones)]]/2</f>
        <v>86.551501999999999</v>
      </c>
      <c r="D185" s="5">
        <v>49279.585355094838</v>
      </c>
      <c r="E185" s="63">
        <f t="shared" si="10"/>
        <v>1.7563358412278475E-5</v>
      </c>
    </row>
    <row r="186" spans="1:10" x14ac:dyDescent="0.25">
      <c r="A186" s="10">
        <v>1993</v>
      </c>
      <c r="B186" s="80">
        <f t="shared" si="9"/>
        <v>218.984487</v>
      </c>
      <c r="C186" s="80">
        <f>Tabla11619264096[[#This Row],[Balanza Comercial Absoluta Colombia 
(US$ millones)]]/2</f>
        <v>109.4922435</v>
      </c>
      <c r="D186" s="5">
        <v>55802.540100979531</v>
      </c>
      <c r="E186" s="63">
        <f t="shared" si="10"/>
        <v>1.9621372665449332E-5</v>
      </c>
    </row>
    <row r="187" spans="1:10" x14ac:dyDescent="0.25">
      <c r="A187" s="10">
        <v>1994</v>
      </c>
      <c r="B187" s="80">
        <f t="shared" si="9"/>
        <v>273.70874000000003</v>
      </c>
      <c r="C187" s="80">
        <f>Tabla11619264096[[#This Row],[Balanza Comercial Absoluta Colombia 
(US$ millones)]]/2</f>
        <v>136.85437000000002</v>
      </c>
      <c r="D187" s="5">
        <v>81703.496603993364</v>
      </c>
      <c r="E187" s="63">
        <f t="shared" si="10"/>
        <v>1.6750124007949872E-5</v>
      </c>
    </row>
    <row r="188" spans="1:10" x14ac:dyDescent="0.25">
      <c r="A188" s="10">
        <v>1995</v>
      </c>
      <c r="B188" s="80">
        <f t="shared" si="9"/>
        <v>207.62341600000002</v>
      </c>
      <c r="C188" s="80">
        <f>Tabla11619264096[[#This Row],[Balanza Comercial Absoluta Colombia 
(US$ millones)]]/2</f>
        <v>103.81170800000001</v>
      </c>
      <c r="D188" s="5">
        <v>92507.277798198498</v>
      </c>
      <c r="E188" s="63">
        <f t="shared" si="10"/>
        <v>1.1222004416394324E-5</v>
      </c>
    </row>
    <row r="189" spans="1:10" x14ac:dyDescent="0.25">
      <c r="A189" s="10">
        <v>1996</v>
      </c>
      <c r="B189" s="80">
        <f t="shared" si="9"/>
        <v>175.37612200000001</v>
      </c>
      <c r="C189" s="80">
        <f>Tabla11619264096[[#This Row],[Balanza Comercial Absoluta Colombia 
(US$ millones)]]/2</f>
        <v>87.688061000000005</v>
      </c>
      <c r="D189" s="5">
        <v>97160.111573336981</v>
      </c>
      <c r="E189" s="63">
        <f t="shared" si="10"/>
        <v>9.0251091296671246E-6</v>
      </c>
    </row>
    <row r="190" spans="1:10" x14ac:dyDescent="0.25">
      <c r="A190" s="10">
        <v>1997</v>
      </c>
      <c r="B190" s="80">
        <f t="shared" si="9"/>
        <v>216.974152</v>
      </c>
      <c r="C190" s="80">
        <f>Tabla11619264096[[#This Row],[Balanza Comercial Absoluta Colombia 
(US$ millones)]]/2</f>
        <v>108.487076</v>
      </c>
      <c r="D190" s="5">
        <v>106659.5079635281</v>
      </c>
      <c r="E190" s="63">
        <f t="shared" si="10"/>
        <v>1.0171346002936451E-5</v>
      </c>
    </row>
    <row r="191" spans="1:10" x14ac:dyDescent="0.25">
      <c r="A191" s="10">
        <v>1998</v>
      </c>
      <c r="B191" s="80">
        <f t="shared" si="9"/>
        <v>188.64477199999999</v>
      </c>
      <c r="C191" s="80">
        <f>Tabla11619264096[[#This Row],[Balanza Comercial Absoluta Colombia 
(US$ millones)]]/2</f>
        <v>94.322385999999995</v>
      </c>
      <c r="D191" s="5">
        <v>98443.743190849113</v>
      </c>
      <c r="E191" s="63">
        <f t="shared" si="10"/>
        <v>9.5813489961612703E-6</v>
      </c>
    </row>
    <row r="192" spans="1:10" x14ac:dyDescent="0.25">
      <c r="A192" s="10">
        <v>1999</v>
      </c>
      <c r="B192" s="80">
        <f t="shared" si="9"/>
        <v>257.073216</v>
      </c>
      <c r="C192" s="80">
        <f>Tabla11619264096[[#This Row],[Balanza Comercial Absoluta Colombia 
(US$ millones)]]/2</f>
        <v>128.536608</v>
      </c>
      <c r="D192" s="5">
        <v>86186.156584381664</v>
      </c>
      <c r="E192" s="63">
        <f t="shared" si="10"/>
        <v>1.4913834552322168E-5</v>
      </c>
    </row>
    <row r="193" spans="1:5" x14ac:dyDescent="0.25">
      <c r="A193" s="10">
        <v>2000</v>
      </c>
      <c r="B193" s="80">
        <f t="shared" si="9"/>
        <v>227.805204</v>
      </c>
      <c r="C193" s="80">
        <f>Tabla11619264096[[#This Row],[Balanza Comercial Absoluta Colombia 
(US$ millones)]]/2</f>
        <v>113.902602</v>
      </c>
      <c r="D193" s="5">
        <v>99886.577575544405</v>
      </c>
      <c r="E193" s="63">
        <f t="shared" si="10"/>
        <v>1.1403193979076445E-5</v>
      </c>
    </row>
    <row r="194" spans="1:5" x14ac:dyDescent="0.25">
      <c r="A194" s="10">
        <v>2001</v>
      </c>
      <c r="B194" s="80">
        <f t="shared" si="9"/>
        <v>197.53136799999999</v>
      </c>
      <c r="C194" s="80">
        <f>Tabla11619264096[[#This Row],[Balanza Comercial Absoluta Colombia 
(US$ millones)]]/2</f>
        <v>98.765683999999993</v>
      </c>
      <c r="D194" s="5">
        <v>98203.544965267793</v>
      </c>
      <c r="E194" s="63">
        <f t="shared" si="10"/>
        <v>1.0057242234476466E-5</v>
      </c>
    </row>
    <row r="195" spans="1:5" x14ac:dyDescent="0.25">
      <c r="A195" s="10">
        <v>2002</v>
      </c>
      <c r="B195" s="80">
        <f t="shared" si="9"/>
        <v>205.55497600000001</v>
      </c>
      <c r="C195" s="80">
        <f>Tabla11619264096[[#This Row],[Balanza Comercial Absoluta Colombia 
(US$ millones)]]/2</f>
        <v>102.77748800000001</v>
      </c>
      <c r="D195" s="5">
        <v>97933.392356425305</v>
      </c>
      <c r="E195" s="63">
        <f t="shared" si="10"/>
        <v>1.0494631660051638E-5</v>
      </c>
    </row>
    <row r="196" spans="1:5" x14ac:dyDescent="0.25">
      <c r="A196" s="10">
        <v>2003</v>
      </c>
      <c r="B196" s="80">
        <f t="shared" si="9"/>
        <v>192.190448</v>
      </c>
      <c r="C196" s="80">
        <f>Tabla11619264096[[#This Row],[Balanza Comercial Absoluta Colombia 
(US$ millones)]]/2</f>
        <v>96.095224000000002</v>
      </c>
      <c r="D196" s="5">
        <v>94684.582573316715</v>
      </c>
      <c r="E196" s="63">
        <f t="shared" si="10"/>
        <v>1.0148983222859011E-5</v>
      </c>
    </row>
    <row r="197" spans="1:5" x14ac:dyDescent="0.25">
      <c r="A197" s="10">
        <v>2004</v>
      </c>
      <c r="B197" s="80">
        <f t="shared" si="9"/>
        <v>187.17767600000002</v>
      </c>
      <c r="C197" s="80">
        <f>Tabla11619264096[[#This Row],[Balanza Comercial Absoluta Colombia 
(US$ millones)]]/2</f>
        <v>93.58883800000001</v>
      </c>
      <c r="D197" s="5">
        <v>117074.86551527939</v>
      </c>
      <c r="E197" s="63">
        <f t="shared" si="10"/>
        <v>7.9939308568145026E-6</v>
      </c>
    </row>
    <row r="198" spans="1:5" x14ac:dyDescent="0.25">
      <c r="A198" s="10">
        <v>2005</v>
      </c>
      <c r="B198" s="80">
        <f t="shared" si="9"/>
        <v>232.028919</v>
      </c>
      <c r="C198" s="80">
        <f>Tabla11619264096[[#This Row],[Balanza Comercial Absoluta Colombia 
(US$ millones)]]/2</f>
        <v>116.0144595</v>
      </c>
      <c r="D198" s="5">
        <v>146566.26631057015</v>
      </c>
      <c r="E198" s="63">
        <f t="shared" si="10"/>
        <v>7.9154953196507275E-6</v>
      </c>
    </row>
    <row r="199" spans="1:5" x14ac:dyDescent="0.25">
      <c r="A199" s="10">
        <v>2006</v>
      </c>
      <c r="B199" s="80">
        <f t="shared" si="9"/>
        <v>231.395509</v>
      </c>
      <c r="C199" s="80">
        <f>Tabla11619264096[[#This Row],[Balanza Comercial Absoluta Colombia 
(US$ millones)]]/2</f>
        <v>115.6977545</v>
      </c>
      <c r="D199" s="5">
        <v>162590.1460964143</v>
      </c>
      <c r="E199" s="63">
        <f t="shared" si="10"/>
        <v>7.115914296023352E-6</v>
      </c>
    </row>
    <row r="200" spans="1:5" x14ac:dyDescent="0.25">
      <c r="A200" s="10">
        <v>2007</v>
      </c>
      <c r="B200" s="80">
        <f t="shared" si="9"/>
        <v>217.31656100000001</v>
      </c>
      <c r="C200" s="80">
        <f>Tabla11619264096[[#This Row],[Balanza Comercial Absoluta Colombia 
(US$ millones)]]/2</f>
        <v>108.6582805</v>
      </c>
      <c r="D200" s="5">
        <v>207416.49464237894</v>
      </c>
      <c r="E200" s="63">
        <f t="shared" si="10"/>
        <v>5.2386518578160922E-6</v>
      </c>
    </row>
    <row r="201" spans="1:5" x14ac:dyDescent="0.25">
      <c r="A201" s="10">
        <v>2008</v>
      </c>
      <c r="B201" s="80">
        <f t="shared" si="9"/>
        <v>249.60987699999998</v>
      </c>
      <c r="C201" s="80">
        <f>Tabla11619264096[[#This Row],[Balanza Comercial Absoluta Colombia 
(US$ millones)]]/2</f>
        <v>124.80493849999999</v>
      </c>
      <c r="D201" s="5">
        <v>243982.43787084011</v>
      </c>
      <c r="E201" s="63">
        <f t="shared" si="10"/>
        <v>5.1153246761994188E-6</v>
      </c>
    </row>
    <row r="202" spans="1:5" x14ac:dyDescent="0.25">
      <c r="A202" s="10">
        <v>2009</v>
      </c>
      <c r="B202" s="80">
        <f t="shared" si="9"/>
        <v>347.36110500000001</v>
      </c>
      <c r="C202" s="80">
        <f>Tabla11619264096[[#This Row],[Balanza Comercial Absoluta Colombia 
(US$ millones)]]/2</f>
        <v>173.6805525</v>
      </c>
      <c r="D202" s="5">
        <v>233821.6705442575</v>
      </c>
      <c r="E202" s="63">
        <f t="shared" si="10"/>
        <v>7.4279065792204216E-6</v>
      </c>
    </row>
    <row r="203" spans="1:5" x14ac:dyDescent="0.25">
      <c r="A203" s="10">
        <v>2010</v>
      </c>
      <c r="B203" s="80">
        <f t="shared" si="9"/>
        <v>316.24375099999997</v>
      </c>
      <c r="C203" s="80">
        <f>Tabla11619264096[[#This Row],[Balanza Comercial Absoluta Colombia 
(US$ millones)]]/2</f>
        <v>158.12187549999999</v>
      </c>
      <c r="D203" s="5">
        <v>287018.18463752925</v>
      </c>
      <c r="E203" s="63">
        <f t="shared" si="10"/>
        <v>5.5091239497486762E-6</v>
      </c>
    </row>
    <row r="204" spans="1:5" x14ac:dyDescent="0.25">
      <c r="A204" s="10">
        <v>2011</v>
      </c>
      <c r="B204" s="80">
        <f t="shared" si="9"/>
        <v>307.47316000000001</v>
      </c>
      <c r="C204" s="80">
        <f>Tabla11619264096[[#This Row],[Balanza Comercial Absoluta Colombia 
(US$ millones)]]/2</f>
        <v>153.73658</v>
      </c>
      <c r="D204" s="5">
        <v>335415.15670218616</v>
      </c>
      <c r="E204" s="63">
        <f t="shared" si="10"/>
        <v>4.5834714659749895E-6</v>
      </c>
    </row>
    <row r="205" spans="1:5" x14ac:dyDescent="0.25">
      <c r="A205" s="10">
        <v>2012</v>
      </c>
      <c r="B205" s="80">
        <f t="shared" si="9"/>
        <v>361.42174799999998</v>
      </c>
      <c r="C205" s="80">
        <f>Tabla11619264096[[#This Row],[Balanza Comercial Absoluta Colombia 
(US$ millones)]]/2</f>
        <v>180.71087399999999</v>
      </c>
      <c r="D205" s="5">
        <v>369659.70037551981</v>
      </c>
      <c r="E205" s="63">
        <f t="shared" si="10"/>
        <v>4.8885738374084147E-6</v>
      </c>
    </row>
    <row r="206" spans="1:5" x14ac:dyDescent="0.25">
      <c r="A206" s="10">
        <v>2013</v>
      </c>
      <c r="B206" s="80">
        <f t="shared" si="9"/>
        <v>358.40881899999999</v>
      </c>
      <c r="C206" s="80">
        <f>Tabla11619264096[[#This Row],[Balanza Comercial Absoluta Colombia 
(US$ millones)]]/2</f>
        <v>179.2044095</v>
      </c>
      <c r="D206" s="5">
        <v>380191.88186037214</v>
      </c>
      <c r="E206" s="63">
        <f t="shared" si="10"/>
        <v>4.713525407831142E-6</v>
      </c>
    </row>
    <row r="207" spans="1:5" x14ac:dyDescent="0.25">
      <c r="A207" s="10">
        <v>2014</v>
      </c>
      <c r="B207" s="80">
        <f t="shared" si="9"/>
        <v>408.861445</v>
      </c>
      <c r="C207" s="80">
        <f>Tabla11619264096[[#This Row],[Balanza Comercial Absoluta Colombia 
(US$ millones)]]/2</f>
        <v>204.4307225</v>
      </c>
      <c r="D207" s="5">
        <v>378416.02053371473</v>
      </c>
      <c r="E207" s="63">
        <f t="shared" si="10"/>
        <v>5.4022745181790306E-6</v>
      </c>
    </row>
    <row r="208" spans="1:5" x14ac:dyDescent="0.25">
      <c r="A208" s="11">
        <v>2015</v>
      </c>
      <c r="B208" s="80">
        <f t="shared" si="9"/>
        <v>338.56045399999999</v>
      </c>
      <c r="C208" s="85">
        <f>Tabla11619264096[[#This Row],[Balanza Comercial Absoluta Colombia 
(US$ millones)]]/2</f>
        <v>169.280227</v>
      </c>
      <c r="D208" s="6">
        <v>292080.15563330991</v>
      </c>
      <c r="E208" s="63">
        <f t="shared" si="10"/>
        <v>5.7956771021623843E-6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60" x14ac:dyDescent="0.25">
      <c r="A212" s="28" t="s">
        <v>3</v>
      </c>
      <c r="B212" s="29" t="s">
        <v>148</v>
      </c>
      <c r="C212" s="29" t="s">
        <v>151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80">
        <f t="shared" ref="B213:B237" si="11">B125</f>
        <v>186.107427</v>
      </c>
      <c r="C213" s="80">
        <f>Tabla1161721274197[[#This Row],[Balanza Comercial Absoluta USA
(US$ millones)]]/2</f>
        <v>93.053713500000001</v>
      </c>
      <c r="D213" s="5">
        <v>6174.0429999999997</v>
      </c>
      <c r="E213" s="106">
        <f t="shared" ref="E213:E237" si="12">(C213/D213)/10000</f>
        <v>1.5071763105634349E-6</v>
      </c>
    </row>
    <row r="214" spans="1:10" x14ac:dyDescent="0.25">
      <c r="A214" s="31">
        <v>1992</v>
      </c>
      <c r="B214" s="80">
        <f t="shared" si="11"/>
        <v>173.103004</v>
      </c>
      <c r="C214" s="80">
        <f>Tabla1161721274197[[#This Row],[Balanza Comercial Absoluta USA
(US$ millones)]]/2</f>
        <v>86.551501999999999</v>
      </c>
      <c r="D214" s="5">
        <v>6539.299</v>
      </c>
      <c r="E214" s="106">
        <f t="shared" si="12"/>
        <v>1.3235593295244642E-6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80">
        <f t="shared" si="11"/>
        <v>218.984487</v>
      </c>
      <c r="C215" s="80">
        <f>Tabla1161721274197[[#This Row],[Balanza Comercial Absoluta USA
(US$ millones)]]/2</f>
        <v>109.4922435</v>
      </c>
      <c r="D215" s="5">
        <v>6878.7179999999998</v>
      </c>
      <c r="E215" s="106">
        <f t="shared" si="12"/>
        <v>1.591753630545692E-6</v>
      </c>
    </row>
    <row r="216" spans="1:10" x14ac:dyDescent="0.25">
      <c r="A216" s="31">
        <v>1994</v>
      </c>
      <c r="B216" s="80">
        <f t="shared" si="11"/>
        <v>273.70874000000003</v>
      </c>
      <c r="C216" s="80">
        <f>Tabla1161721274197[[#This Row],[Balanza Comercial Absoluta USA
(US$ millones)]]/2</f>
        <v>136.85437000000002</v>
      </c>
      <c r="D216" s="5">
        <v>7308.7550000000001</v>
      </c>
      <c r="E216" s="106">
        <f t="shared" si="12"/>
        <v>1.872471713718684E-6</v>
      </c>
    </row>
    <row r="217" spans="1:10" x14ac:dyDescent="0.25">
      <c r="A217" s="31">
        <v>1995</v>
      </c>
      <c r="B217" s="80">
        <f t="shared" si="11"/>
        <v>207.62341600000002</v>
      </c>
      <c r="C217" s="80">
        <f>Tabla1161721274197[[#This Row],[Balanza Comercial Absoluta USA
(US$ millones)]]/2</f>
        <v>103.81170800000001</v>
      </c>
      <c r="D217" s="5">
        <v>7664.06</v>
      </c>
      <c r="E217" s="106">
        <f t="shared" si="12"/>
        <v>1.3545262954621963E-6</v>
      </c>
    </row>
    <row r="218" spans="1:10" x14ac:dyDescent="0.25">
      <c r="A218" s="31">
        <v>1996</v>
      </c>
      <c r="B218" s="80">
        <f t="shared" si="11"/>
        <v>175.37612200000001</v>
      </c>
      <c r="C218" s="80">
        <f>Tabla1161721274197[[#This Row],[Balanza Comercial Absoluta USA
(US$ millones)]]/2</f>
        <v>87.688061000000005</v>
      </c>
      <c r="D218" s="5">
        <v>8100.201</v>
      </c>
      <c r="E218" s="106">
        <f t="shared" si="12"/>
        <v>1.0825417912469087E-6</v>
      </c>
    </row>
    <row r="219" spans="1:10" x14ac:dyDescent="0.25">
      <c r="A219" s="31">
        <v>1997</v>
      </c>
      <c r="B219" s="80">
        <f t="shared" si="11"/>
        <v>216.974152</v>
      </c>
      <c r="C219" s="80">
        <f>Tabla1161721274197[[#This Row],[Balanza Comercial Absoluta USA
(US$ millones)]]/2</f>
        <v>108.487076</v>
      </c>
      <c r="D219" s="5">
        <v>8608.5149999999994</v>
      </c>
      <c r="E219" s="106">
        <f t="shared" si="12"/>
        <v>1.2602298538133467E-6</v>
      </c>
    </row>
    <row r="220" spans="1:10" x14ac:dyDescent="0.25">
      <c r="A220" s="31">
        <v>1998</v>
      </c>
      <c r="B220" s="80">
        <f t="shared" si="11"/>
        <v>188.64477199999999</v>
      </c>
      <c r="C220" s="80">
        <f>Tabla1161721274197[[#This Row],[Balanza Comercial Absoluta USA
(US$ millones)]]/2</f>
        <v>94.322385999999995</v>
      </c>
      <c r="D220" s="5">
        <v>9089.1679999999997</v>
      </c>
      <c r="E220" s="106">
        <f t="shared" si="12"/>
        <v>1.0377449949214274E-6</v>
      </c>
    </row>
    <row r="221" spans="1:10" x14ac:dyDescent="0.25">
      <c r="A221" s="31">
        <v>1999</v>
      </c>
      <c r="B221" s="80">
        <f t="shared" si="11"/>
        <v>257.073216</v>
      </c>
      <c r="C221" s="80">
        <f>Tabla1161721274197[[#This Row],[Balanza Comercial Absoluta USA
(US$ millones)]]/2</f>
        <v>128.536608</v>
      </c>
      <c r="D221" s="5">
        <v>9660.6239999999998</v>
      </c>
      <c r="E221" s="106">
        <f t="shared" si="12"/>
        <v>1.3305207613918106E-6</v>
      </c>
    </row>
    <row r="222" spans="1:10" x14ac:dyDescent="0.25">
      <c r="A222" s="31">
        <v>2000</v>
      </c>
      <c r="B222" s="80">
        <f t="shared" si="11"/>
        <v>227.805204</v>
      </c>
      <c r="C222" s="80">
        <f>Tabla1161721274197[[#This Row],[Balanza Comercial Absoluta USA
(US$ millones)]]/2</f>
        <v>113.902602</v>
      </c>
      <c r="D222" s="5">
        <v>10284.779</v>
      </c>
      <c r="E222" s="106">
        <f t="shared" si="12"/>
        <v>1.1074871127517665E-6</v>
      </c>
    </row>
    <row r="223" spans="1:10" x14ac:dyDescent="0.25">
      <c r="A223" s="31">
        <v>2001</v>
      </c>
      <c r="B223" s="80">
        <f t="shared" si="11"/>
        <v>197.53136799999999</v>
      </c>
      <c r="C223" s="80">
        <f>Tabla1161721274197[[#This Row],[Balanza Comercial Absoluta USA
(US$ millones)]]/2</f>
        <v>98.765683999999993</v>
      </c>
      <c r="D223" s="5">
        <v>10621.824000000001</v>
      </c>
      <c r="E223" s="106">
        <f t="shared" si="12"/>
        <v>9.2983732360844976E-7</v>
      </c>
    </row>
    <row r="224" spans="1:10" x14ac:dyDescent="0.25">
      <c r="A224" s="31">
        <v>2002</v>
      </c>
      <c r="B224" s="80">
        <f t="shared" si="11"/>
        <v>205.55497600000001</v>
      </c>
      <c r="C224" s="80">
        <f>Tabla1161721274197[[#This Row],[Balanza Comercial Absoluta USA
(US$ millones)]]/2</f>
        <v>102.77748800000001</v>
      </c>
      <c r="D224" s="5">
        <v>10977.513999999999</v>
      </c>
      <c r="E224" s="106">
        <f t="shared" si="12"/>
        <v>9.3625467478337995E-7</v>
      </c>
    </row>
    <row r="225" spans="1:5" x14ac:dyDescent="0.25">
      <c r="A225" s="31">
        <v>2003</v>
      </c>
      <c r="B225" s="80">
        <f t="shared" si="11"/>
        <v>192.190448</v>
      </c>
      <c r="C225" s="80">
        <f>Tabla1161721274197[[#This Row],[Balanza Comercial Absoluta USA
(US$ millones)]]/2</f>
        <v>96.095224000000002</v>
      </c>
      <c r="D225" s="5">
        <v>11510.67</v>
      </c>
      <c r="E225" s="106">
        <f t="shared" si="12"/>
        <v>8.3483606080271606E-7</v>
      </c>
    </row>
    <row r="226" spans="1:5" x14ac:dyDescent="0.25">
      <c r="A226" s="31">
        <v>2004</v>
      </c>
      <c r="B226" s="80">
        <f t="shared" si="11"/>
        <v>187.17767600000002</v>
      </c>
      <c r="C226" s="80">
        <f>Tabla1161721274197[[#This Row],[Balanza Comercial Absoluta USA
(US$ millones)]]/2</f>
        <v>93.58883800000001</v>
      </c>
      <c r="D226" s="5">
        <v>12274.928</v>
      </c>
      <c r="E226" s="106">
        <f t="shared" si="12"/>
        <v>7.6243899760552575E-7</v>
      </c>
    </row>
    <row r="227" spans="1:5" x14ac:dyDescent="0.25">
      <c r="A227" s="31">
        <v>2005</v>
      </c>
      <c r="B227" s="80">
        <f t="shared" si="11"/>
        <v>232.028919</v>
      </c>
      <c r="C227" s="80">
        <f>Tabla1161721274197[[#This Row],[Balanza Comercial Absoluta USA
(US$ millones)]]/2</f>
        <v>116.0144595</v>
      </c>
      <c r="D227" s="5">
        <v>13093.726000000001</v>
      </c>
      <c r="E227" s="106">
        <f t="shared" si="12"/>
        <v>8.8603090900176147E-7</v>
      </c>
    </row>
    <row r="228" spans="1:5" x14ac:dyDescent="0.25">
      <c r="A228" s="31">
        <v>2006</v>
      </c>
      <c r="B228" s="80">
        <f t="shared" si="11"/>
        <v>231.395509</v>
      </c>
      <c r="C228" s="80">
        <f>Tabla1161721274197[[#This Row],[Balanza Comercial Absoluta USA
(US$ millones)]]/2</f>
        <v>115.6977545</v>
      </c>
      <c r="D228" s="5">
        <v>13855.888000000001</v>
      </c>
      <c r="E228" s="106">
        <f t="shared" si="12"/>
        <v>8.3500786452661848E-7</v>
      </c>
    </row>
    <row r="229" spans="1:5" x14ac:dyDescent="0.25">
      <c r="A229" s="31">
        <v>2007</v>
      </c>
      <c r="B229" s="80">
        <f t="shared" si="11"/>
        <v>217.31656100000001</v>
      </c>
      <c r="C229" s="80">
        <f>Tabla1161721274197[[#This Row],[Balanza Comercial Absoluta USA
(US$ millones)]]/2</f>
        <v>108.6582805</v>
      </c>
      <c r="D229" s="5">
        <v>14477.635</v>
      </c>
      <c r="E229" s="106">
        <f t="shared" si="12"/>
        <v>7.5052507194717929E-7</v>
      </c>
    </row>
    <row r="230" spans="1:5" x14ac:dyDescent="0.25">
      <c r="A230" s="31">
        <v>2008</v>
      </c>
      <c r="B230" s="80">
        <f t="shared" si="11"/>
        <v>249.60987699999998</v>
      </c>
      <c r="C230" s="80">
        <f>Tabla1161721274197[[#This Row],[Balanza Comercial Absoluta USA
(US$ millones)]]/2</f>
        <v>124.80493849999999</v>
      </c>
      <c r="D230" s="5">
        <v>14718.582</v>
      </c>
      <c r="E230" s="106">
        <f t="shared" si="12"/>
        <v>8.4794132002661667E-7</v>
      </c>
    </row>
    <row r="231" spans="1:5" x14ac:dyDescent="0.25">
      <c r="A231" s="31">
        <v>2009</v>
      </c>
      <c r="B231" s="80">
        <f t="shared" si="11"/>
        <v>347.36110500000001</v>
      </c>
      <c r="C231" s="80">
        <f>Tabla1161721274197[[#This Row],[Balanza Comercial Absoluta USA
(US$ millones)]]/2</f>
        <v>173.6805525</v>
      </c>
      <c r="D231" s="5">
        <v>14418.739</v>
      </c>
      <c r="E231" s="106">
        <f t="shared" si="12"/>
        <v>1.204547446902257E-6</v>
      </c>
    </row>
    <row r="232" spans="1:5" x14ac:dyDescent="0.25">
      <c r="A232" s="31">
        <v>2010</v>
      </c>
      <c r="B232" s="80">
        <f t="shared" si="11"/>
        <v>316.24375099999997</v>
      </c>
      <c r="C232" s="80">
        <f>Tabla1161721274197[[#This Row],[Balanza Comercial Absoluta USA
(US$ millones)]]/2</f>
        <v>158.12187549999999</v>
      </c>
      <c r="D232" s="5">
        <v>14964.371999999999</v>
      </c>
      <c r="E232" s="106">
        <f t="shared" si="12"/>
        <v>1.0566556050598045E-6</v>
      </c>
    </row>
    <row r="233" spans="1:5" x14ac:dyDescent="0.25">
      <c r="A233" s="31">
        <v>2011</v>
      </c>
      <c r="B233" s="80">
        <f t="shared" si="11"/>
        <v>307.47316000000001</v>
      </c>
      <c r="C233" s="80">
        <f>Tabla1161721274197[[#This Row],[Balanza Comercial Absoluta USA
(US$ millones)]]/2</f>
        <v>153.73658</v>
      </c>
      <c r="D233" s="5">
        <v>15517.925999999999</v>
      </c>
      <c r="E233" s="106">
        <f t="shared" si="12"/>
        <v>9.9070313906639336E-7</v>
      </c>
    </row>
    <row r="234" spans="1:5" x14ac:dyDescent="0.25">
      <c r="A234" s="31">
        <v>2012</v>
      </c>
      <c r="B234" s="80">
        <f t="shared" si="11"/>
        <v>361.42174799999998</v>
      </c>
      <c r="C234" s="80">
        <f>Tabla1161721274197[[#This Row],[Balanza Comercial Absoluta USA
(US$ millones)]]/2</f>
        <v>180.71087399999999</v>
      </c>
      <c r="D234" s="5">
        <v>16155.254999999999</v>
      </c>
      <c r="E234" s="106">
        <f t="shared" si="12"/>
        <v>1.1185888059334254E-6</v>
      </c>
    </row>
    <row r="235" spans="1:5" x14ac:dyDescent="0.25">
      <c r="A235" s="31">
        <v>2013</v>
      </c>
      <c r="B235" s="80">
        <f t="shared" si="11"/>
        <v>358.40881899999999</v>
      </c>
      <c r="C235" s="80">
        <f>Tabla1161721274197[[#This Row],[Balanza Comercial Absoluta USA
(US$ millones)]]/2</f>
        <v>179.2044095</v>
      </c>
      <c r="D235" s="5">
        <v>16663.16</v>
      </c>
      <c r="E235" s="106">
        <f t="shared" si="12"/>
        <v>1.0754527322548665E-6</v>
      </c>
    </row>
    <row r="236" spans="1:5" x14ac:dyDescent="0.25">
      <c r="A236" s="31">
        <v>2014</v>
      </c>
      <c r="B236" s="80">
        <f t="shared" si="11"/>
        <v>408.861445</v>
      </c>
      <c r="C236" s="80">
        <f>Tabla1161721274197[[#This Row],[Balanza Comercial Absoluta USA
(US$ millones)]]/2</f>
        <v>204.4307225</v>
      </c>
      <c r="D236" s="5">
        <v>17348.071499999998</v>
      </c>
      <c r="E236" s="106">
        <f t="shared" si="12"/>
        <v>1.1784060406944945E-6</v>
      </c>
    </row>
    <row r="237" spans="1:5" x14ac:dyDescent="0.25">
      <c r="A237" s="31">
        <v>2015</v>
      </c>
      <c r="B237" s="80">
        <f t="shared" si="11"/>
        <v>338.56045399999999</v>
      </c>
      <c r="C237" s="80">
        <f>Tabla1161721274197[[#This Row],[Balanza Comercial Absoluta USA
(US$ millones)]]/2</f>
        <v>169.280227</v>
      </c>
      <c r="D237" s="5">
        <v>17946.995999999999</v>
      </c>
      <c r="E237" s="106">
        <f t="shared" si="12"/>
        <v>9.4322318342300852E-7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157" zoomScale="80" zoomScaleNormal="80" workbookViewId="0">
      <selection activeCell="A2" sqref="A2:D26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30</v>
      </c>
    </row>
    <row r="4" spans="1:10" x14ac:dyDescent="0.25">
      <c r="A4" s="134" t="s">
        <v>31</v>
      </c>
      <c r="B4" s="134"/>
      <c r="C4" s="134"/>
      <c r="D4" s="134"/>
    </row>
    <row r="5" spans="1:10" ht="60" x14ac:dyDescent="0.25">
      <c r="A5" s="108" t="s">
        <v>3</v>
      </c>
      <c r="B5" s="34" t="s">
        <v>13</v>
      </c>
      <c r="C5" s="34" t="s">
        <v>68</v>
      </c>
      <c r="D5" s="34" t="s">
        <v>38</v>
      </c>
    </row>
    <row r="6" spans="1:10" x14ac:dyDescent="0.25">
      <c r="A6" s="37">
        <v>1991</v>
      </c>
      <c r="B6" s="69">
        <f>'Export 05'!B2</f>
        <v>175.03537600000001</v>
      </c>
      <c r="C6" s="39">
        <v>34830570</v>
      </c>
      <c r="D6" s="82">
        <f t="shared" ref="D6:D30" si="0">(B6*1000000/C6)</f>
        <v>5.0253376846833113</v>
      </c>
      <c r="F6" s="7" t="s">
        <v>69</v>
      </c>
      <c r="I6" s="1" t="s">
        <v>10</v>
      </c>
      <c r="J6" s="7" t="s">
        <v>70</v>
      </c>
    </row>
    <row r="7" spans="1:10" x14ac:dyDescent="0.25">
      <c r="A7" s="38">
        <v>1992</v>
      </c>
      <c r="B7" s="69">
        <f>'Export 05'!B3</f>
        <v>158.547056</v>
      </c>
      <c r="C7" s="40">
        <v>35520940</v>
      </c>
      <c r="D7" s="82">
        <f t="shared" si="0"/>
        <v>4.4634814281378814</v>
      </c>
    </row>
    <row r="8" spans="1:10" x14ac:dyDescent="0.25">
      <c r="A8" s="37">
        <v>1993</v>
      </c>
      <c r="B8" s="69">
        <f>'Export 05'!B4</f>
        <v>210.10672</v>
      </c>
      <c r="C8" s="39">
        <v>36207108</v>
      </c>
      <c r="D8" s="82">
        <f t="shared" si="0"/>
        <v>5.8029136157463892</v>
      </c>
    </row>
    <row r="9" spans="1:10" x14ac:dyDescent="0.25">
      <c r="A9" s="38">
        <v>1994</v>
      </c>
      <c r="B9" s="69">
        <f>'Export 05'!B5</f>
        <v>243.64107200000001</v>
      </c>
      <c r="C9" s="40">
        <v>36853905</v>
      </c>
      <c r="D9" s="82">
        <f t="shared" si="0"/>
        <v>6.6109974506093723</v>
      </c>
    </row>
    <row r="10" spans="1:10" x14ac:dyDescent="0.25">
      <c r="A10" s="37">
        <v>1995</v>
      </c>
      <c r="B10" s="69">
        <f>'Export 05'!B6</f>
        <v>177.53075200000001</v>
      </c>
      <c r="C10" s="39">
        <v>37472184</v>
      </c>
      <c r="D10" s="82">
        <f t="shared" si="0"/>
        <v>4.7376675989848893</v>
      </c>
    </row>
    <row r="11" spans="1:10" x14ac:dyDescent="0.25">
      <c r="A11" s="38">
        <v>1996</v>
      </c>
      <c r="B11" s="69">
        <f>'Export 05'!B7</f>
        <v>149.02027200000001</v>
      </c>
      <c r="C11" s="40">
        <v>38068050</v>
      </c>
      <c r="D11" s="82">
        <f t="shared" si="0"/>
        <v>3.9145759239046916</v>
      </c>
    </row>
    <row r="12" spans="1:10" x14ac:dyDescent="0.25">
      <c r="A12" s="37">
        <v>1997</v>
      </c>
      <c r="B12" s="69">
        <f>'Export 05'!B8</f>
        <v>183.25291200000001</v>
      </c>
      <c r="C12" s="39">
        <v>38635691</v>
      </c>
      <c r="D12" s="82">
        <f t="shared" si="0"/>
        <v>4.7430991204479813</v>
      </c>
    </row>
    <row r="13" spans="1:10" x14ac:dyDescent="0.25">
      <c r="A13" s="38">
        <v>1998</v>
      </c>
      <c r="B13" s="69">
        <f>'Export 05'!B9</f>
        <v>160.56084799999999</v>
      </c>
      <c r="C13" s="40">
        <v>39184456</v>
      </c>
      <c r="D13" s="82">
        <f t="shared" si="0"/>
        <v>4.0975648098827762</v>
      </c>
    </row>
    <row r="14" spans="1:10" x14ac:dyDescent="0.25">
      <c r="A14" s="37">
        <v>1999</v>
      </c>
      <c r="B14" s="69">
        <f>'Export 05'!B10</f>
        <v>233.62775999999999</v>
      </c>
      <c r="C14" s="39">
        <v>39730798</v>
      </c>
      <c r="D14" s="82">
        <f t="shared" si="0"/>
        <v>5.8802685010253253</v>
      </c>
    </row>
    <row r="15" spans="1:10" x14ac:dyDescent="0.25">
      <c r="A15" s="38">
        <v>2000</v>
      </c>
      <c r="B15" s="69">
        <f>'Export 05'!B11</f>
        <v>205.67479800000001</v>
      </c>
      <c r="C15" s="40">
        <v>40295563</v>
      </c>
      <c r="D15" s="82">
        <f t="shared" si="0"/>
        <v>5.1041549661435432</v>
      </c>
    </row>
    <row r="16" spans="1:10" x14ac:dyDescent="0.25">
      <c r="A16" s="37">
        <v>2001</v>
      </c>
      <c r="B16" s="69">
        <f>'Export 05'!B12</f>
        <v>180.33841799999999</v>
      </c>
      <c r="C16" s="39">
        <v>40813541</v>
      </c>
      <c r="D16" s="82">
        <f t="shared" si="0"/>
        <v>4.4185927900742552</v>
      </c>
    </row>
    <row r="17" spans="1:4" x14ac:dyDescent="0.25">
      <c r="A17" s="38">
        <v>2002</v>
      </c>
      <c r="B17" s="69">
        <f>'Export 05'!B13</f>
        <v>188.665188</v>
      </c>
      <c r="C17" s="40">
        <v>41328824</v>
      </c>
      <c r="D17" s="82">
        <f t="shared" si="0"/>
        <v>4.5649783792541498</v>
      </c>
    </row>
    <row r="18" spans="1:4" x14ac:dyDescent="0.25">
      <c r="A18" s="37">
        <v>2003</v>
      </c>
      <c r="B18" s="69">
        <f>'Export 05'!B14</f>
        <v>177.883725</v>
      </c>
      <c r="C18" s="39">
        <v>41848959</v>
      </c>
      <c r="D18" s="82">
        <f t="shared" si="0"/>
        <v>4.2506129005502862</v>
      </c>
    </row>
    <row r="19" spans="1:4" x14ac:dyDescent="0.25">
      <c r="A19" s="38">
        <v>2004</v>
      </c>
      <c r="B19" s="69">
        <f>'Export 05'!B15</f>
        <v>170.255897</v>
      </c>
      <c r="C19" s="40">
        <v>42368489</v>
      </c>
      <c r="D19" s="82">
        <f t="shared" si="0"/>
        <v>4.0184557207126268</v>
      </c>
    </row>
    <row r="20" spans="1:4" x14ac:dyDescent="0.25">
      <c r="A20" s="37">
        <v>2005</v>
      </c>
      <c r="B20" s="69">
        <f>'Export 05'!B16</f>
        <v>209.21320399999999</v>
      </c>
      <c r="C20" s="39">
        <v>42888592</v>
      </c>
      <c r="D20" s="82">
        <f t="shared" si="0"/>
        <v>4.8780618398477618</v>
      </c>
    </row>
    <row r="21" spans="1:4" x14ac:dyDescent="0.25">
      <c r="A21" s="38">
        <v>2006</v>
      </c>
      <c r="B21" s="69">
        <f>'Export 05'!B17</f>
        <v>205.68426400000001</v>
      </c>
      <c r="C21" s="40">
        <v>43405956</v>
      </c>
      <c r="D21" s="82">
        <f t="shared" si="0"/>
        <v>4.738618451348013</v>
      </c>
    </row>
    <row r="22" spans="1:4" x14ac:dyDescent="0.25">
      <c r="A22" s="37">
        <v>2007</v>
      </c>
      <c r="B22" s="69">
        <f>'Export 05'!B18</f>
        <v>179.43127200000001</v>
      </c>
      <c r="C22" s="39">
        <v>43926929</v>
      </c>
      <c r="D22" s="82">
        <f t="shared" si="0"/>
        <v>4.0847670457454468</v>
      </c>
    </row>
    <row r="23" spans="1:4" x14ac:dyDescent="0.25">
      <c r="A23" s="38">
        <v>2008</v>
      </c>
      <c r="B23" s="69">
        <f>'Export 05'!B19</f>
        <v>208.32001099999999</v>
      </c>
      <c r="C23" s="40">
        <v>44451147</v>
      </c>
      <c r="D23" s="82">
        <f t="shared" si="0"/>
        <v>4.6864934891331371</v>
      </c>
    </row>
    <row r="24" spans="1:4" x14ac:dyDescent="0.25">
      <c r="A24" s="37">
        <v>2009</v>
      </c>
      <c r="B24" s="69">
        <f>'Export 05'!B20</f>
        <v>292.94803100000001</v>
      </c>
      <c r="C24" s="39">
        <v>44978832</v>
      </c>
      <c r="D24" s="82">
        <f t="shared" si="0"/>
        <v>6.5130199690378801</v>
      </c>
    </row>
    <row r="25" spans="1:4" x14ac:dyDescent="0.25">
      <c r="A25" s="38">
        <v>2010</v>
      </c>
      <c r="B25" s="69">
        <f>'Export 05'!B21</f>
        <v>265.840957</v>
      </c>
      <c r="C25" s="40">
        <v>45509584</v>
      </c>
      <c r="D25" s="82">
        <f t="shared" si="0"/>
        <v>5.8414279726222063</v>
      </c>
    </row>
    <row r="26" spans="1:4" x14ac:dyDescent="0.25">
      <c r="A26" s="37">
        <v>2011</v>
      </c>
      <c r="B26" s="69">
        <f>'Export 05'!B22</f>
        <v>233.95684900000001</v>
      </c>
      <c r="C26" s="39">
        <v>46044601</v>
      </c>
      <c r="D26" s="82">
        <f t="shared" si="0"/>
        <v>5.0810918960943976</v>
      </c>
    </row>
    <row r="27" spans="1:4" x14ac:dyDescent="0.25">
      <c r="A27" s="38">
        <v>2012</v>
      </c>
      <c r="B27" s="69">
        <f>'Export 05'!B23</f>
        <v>268.91415699999999</v>
      </c>
      <c r="C27" s="40">
        <v>46581823</v>
      </c>
      <c r="D27" s="82">
        <f t="shared" si="0"/>
        <v>5.7729418833608124</v>
      </c>
    </row>
    <row r="28" spans="1:4" x14ac:dyDescent="0.25">
      <c r="A28" s="37">
        <v>2013</v>
      </c>
      <c r="B28" s="69">
        <f>'Export 05'!B24</f>
        <v>242.415783</v>
      </c>
      <c r="C28" s="39">
        <v>47121089</v>
      </c>
      <c r="D28" s="82">
        <f t="shared" si="0"/>
        <v>5.1445284509447564</v>
      </c>
    </row>
    <row r="29" spans="1:4" x14ac:dyDescent="0.25">
      <c r="A29" s="38">
        <v>2014</v>
      </c>
      <c r="B29" s="69">
        <f>'Export 05'!B25</f>
        <v>266.42256800000001</v>
      </c>
      <c r="C29" s="40">
        <v>47661787</v>
      </c>
      <c r="D29" s="82">
        <f t="shared" si="0"/>
        <v>5.5898568805235946</v>
      </c>
    </row>
    <row r="30" spans="1:4" x14ac:dyDescent="0.25">
      <c r="A30" s="37">
        <v>2015</v>
      </c>
      <c r="B30" s="69">
        <f>'Export 05'!B26</f>
        <v>209.47781000000001</v>
      </c>
      <c r="C30" s="39">
        <v>48203405</v>
      </c>
      <c r="D30" s="82">
        <f t="shared" si="0"/>
        <v>4.3457056612494487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108" t="s">
        <v>3</v>
      </c>
      <c r="B35" s="34" t="s">
        <v>33</v>
      </c>
      <c r="C35" s="34" t="s">
        <v>68</v>
      </c>
      <c r="D35" s="34" t="s">
        <v>129</v>
      </c>
    </row>
    <row r="36" spans="1:10" x14ac:dyDescent="0.25">
      <c r="A36" s="37">
        <v>1991</v>
      </c>
      <c r="B36" s="69">
        <f>'Import 05'!B2</f>
        <v>11.072051</v>
      </c>
      <c r="C36" s="39">
        <v>34830570</v>
      </c>
      <c r="D36" s="81">
        <f t="shared" ref="D36:D60" si="1">(B36/C36)*1000000</f>
        <v>0.31788314116019345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69">
        <f>'Import 05'!B3</f>
        <v>14.555948000000001</v>
      </c>
      <c r="C37" s="40">
        <v>35520940</v>
      </c>
      <c r="D37" s="81">
        <f t="shared" si="1"/>
        <v>0.40978498879815684</v>
      </c>
    </row>
    <row r="38" spans="1:10" x14ac:dyDescent="0.25">
      <c r="A38" s="37">
        <v>1993</v>
      </c>
      <c r="B38" s="69">
        <f>'Import 05'!B4</f>
        <v>8.8777670000000004</v>
      </c>
      <c r="C38" s="39">
        <v>36207108</v>
      </c>
      <c r="D38" s="81">
        <f t="shared" si="1"/>
        <v>0.24519403759062999</v>
      </c>
    </row>
    <row r="39" spans="1:10" x14ac:dyDescent="0.25">
      <c r="A39" s="38">
        <v>1994</v>
      </c>
      <c r="B39" s="69">
        <f>'Import 05'!B5</f>
        <v>30.067668000000001</v>
      </c>
      <c r="C39" s="40">
        <v>36853905</v>
      </c>
      <c r="D39" s="81">
        <f t="shared" si="1"/>
        <v>0.81586111431068165</v>
      </c>
    </row>
    <row r="40" spans="1:10" x14ac:dyDescent="0.25">
      <c r="A40" s="37">
        <v>1995</v>
      </c>
      <c r="B40" s="69">
        <f>'Import 05'!B6</f>
        <v>30.092663999999999</v>
      </c>
      <c r="C40" s="39">
        <v>37472184</v>
      </c>
      <c r="D40" s="81">
        <f t="shared" si="1"/>
        <v>0.80306672277228353</v>
      </c>
    </row>
    <row r="41" spans="1:10" x14ac:dyDescent="0.25">
      <c r="A41" s="38">
        <v>1996</v>
      </c>
      <c r="B41" s="69">
        <f>'Import 05'!B7</f>
        <v>26.35585</v>
      </c>
      <c r="C41" s="40">
        <v>38068050</v>
      </c>
      <c r="D41" s="81">
        <f t="shared" si="1"/>
        <v>0.69233517345910811</v>
      </c>
    </row>
    <row r="42" spans="1:10" x14ac:dyDescent="0.25">
      <c r="A42" s="37">
        <v>1997</v>
      </c>
      <c r="B42" s="69">
        <f>'Import 05'!B8</f>
        <v>33.721240000000002</v>
      </c>
      <c r="C42" s="39">
        <v>38635691</v>
      </c>
      <c r="D42" s="81">
        <f t="shared" si="1"/>
        <v>0.87280023023271414</v>
      </c>
    </row>
    <row r="43" spans="1:10" x14ac:dyDescent="0.25">
      <c r="A43" s="38">
        <v>1998</v>
      </c>
      <c r="B43" s="69">
        <f>'Import 05'!B9</f>
        <v>28.083924</v>
      </c>
      <c r="C43" s="40">
        <v>39184456</v>
      </c>
      <c r="D43" s="81">
        <f t="shared" si="1"/>
        <v>0.71671083043745709</v>
      </c>
    </row>
    <row r="44" spans="1:10" x14ac:dyDescent="0.25">
      <c r="A44" s="37">
        <v>1999</v>
      </c>
      <c r="B44" s="69">
        <f>'Import 05'!B10</f>
        <v>23.445456</v>
      </c>
      <c r="C44" s="39">
        <v>39730798</v>
      </c>
      <c r="D44" s="81">
        <f t="shared" si="1"/>
        <v>0.59010785537204657</v>
      </c>
    </row>
    <row r="45" spans="1:10" x14ac:dyDescent="0.25">
      <c r="A45" s="38">
        <v>2000</v>
      </c>
      <c r="B45" s="69">
        <f>'Import 05'!B11</f>
        <v>22.130406000000001</v>
      </c>
      <c r="C45" s="40">
        <v>40295563</v>
      </c>
      <c r="D45" s="81">
        <f t="shared" si="1"/>
        <v>0.54920205482673112</v>
      </c>
    </row>
    <row r="46" spans="1:10" x14ac:dyDescent="0.25">
      <c r="A46" s="37">
        <v>2001</v>
      </c>
      <c r="B46" s="69">
        <f>'Import 05'!B12</f>
        <v>17.19295</v>
      </c>
      <c r="C46" s="39">
        <v>40813541</v>
      </c>
      <c r="D46" s="81">
        <f t="shared" si="1"/>
        <v>0.42125602382797417</v>
      </c>
    </row>
    <row r="47" spans="1:10" x14ac:dyDescent="0.25">
      <c r="A47" s="38">
        <v>2002</v>
      </c>
      <c r="B47" s="69">
        <f>'Import 05'!B13</f>
        <v>16.889787999999999</v>
      </c>
      <c r="C47" s="40">
        <v>41328824</v>
      </c>
      <c r="D47" s="81">
        <f t="shared" si="1"/>
        <v>0.40866848763952246</v>
      </c>
    </row>
    <row r="48" spans="1:10" x14ac:dyDescent="0.25">
      <c r="A48" s="37">
        <v>2003</v>
      </c>
      <c r="B48" s="69">
        <f>'Import 05'!B14</f>
        <v>14.306723</v>
      </c>
      <c r="C48" s="39">
        <v>41848959</v>
      </c>
      <c r="D48" s="81">
        <f t="shared" si="1"/>
        <v>0.34186568416194058</v>
      </c>
    </row>
    <row r="49" spans="1:4" x14ac:dyDescent="0.25">
      <c r="A49" s="38">
        <v>2004</v>
      </c>
      <c r="B49" s="69">
        <f>'Import 05'!B15</f>
        <v>16.921779000000001</v>
      </c>
      <c r="C49" s="40">
        <v>42368489</v>
      </c>
      <c r="D49" s="81">
        <f t="shared" si="1"/>
        <v>0.39939538556590964</v>
      </c>
    </row>
    <row r="50" spans="1:4" x14ac:dyDescent="0.25">
      <c r="A50" s="37">
        <v>2005</v>
      </c>
      <c r="B50" s="69">
        <f>'Import 05'!B16</f>
        <v>22.815715000000001</v>
      </c>
      <c r="C50" s="39">
        <v>42888592</v>
      </c>
      <c r="D50" s="81">
        <f t="shared" si="1"/>
        <v>0.53197631202255369</v>
      </c>
    </row>
    <row r="51" spans="1:4" x14ac:dyDescent="0.25">
      <c r="A51" s="38">
        <v>2006</v>
      </c>
      <c r="B51" s="69">
        <f>'Import 05'!B17</f>
        <v>25.711245000000002</v>
      </c>
      <c r="C51" s="40">
        <v>43405956</v>
      </c>
      <c r="D51" s="81">
        <f t="shared" si="1"/>
        <v>0.59234370969735128</v>
      </c>
    </row>
    <row r="52" spans="1:4" x14ac:dyDescent="0.25">
      <c r="A52" s="37">
        <v>2007</v>
      </c>
      <c r="B52" s="69">
        <f>'Import 05'!B18</f>
        <v>37.885289</v>
      </c>
      <c r="C52" s="39">
        <v>43926929</v>
      </c>
      <c r="D52" s="81">
        <f t="shared" si="1"/>
        <v>0.86246158933623607</v>
      </c>
    </row>
    <row r="53" spans="1:4" x14ac:dyDescent="0.25">
      <c r="A53" s="38">
        <v>2008</v>
      </c>
      <c r="B53" s="69">
        <f>'Import 05'!B19</f>
        <v>41.289866000000004</v>
      </c>
      <c r="C53" s="40">
        <v>44451147</v>
      </c>
      <c r="D53" s="81">
        <f t="shared" si="1"/>
        <v>0.92888190264246728</v>
      </c>
    </row>
    <row r="54" spans="1:4" x14ac:dyDescent="0.25">
      <c r="A54" s="37">
        <v>2009</v>
      </c>
      <c r="B54" s="69">
        <f>'Import 05'!B20</f>
        <v>54.413074000000002</v>
      </c>
      <c r="C54" s="39">
        <v>44978832</v>
      </c>
      <c r="D54" s="81">
        <f t="shared" si="1"/>
        <v>1.2097484879109355</v>
      </c>
    </row>
    <row r="55" spans="1:4" x14ac:dyDescent="0.25">
      <c r="A55" s="38">
        <v>2010</v>
      </c>
      <c r="B55" s="69">
        <f>'Import 05'!B21</f>
        <v>50.402794</v>
      </c>
      <c r="C55" s="40">
        <v>45509584</v>
      </c>
      <c r="D55" s="81">
        <f t="shared" si="1"/>
        <v>1.1075204291034608</v>
      </c>
    </row>
    <row r="56" spans="1:4" x14ac:dyDescent="0.25">
      <c r="A56" s="37">
        <v>2011</v>
      </c>
      <c r="B56" s="69">
        <f>'Import 05'!B22</f>
        <v>73.516311000000002</v>
      </c>
      <c r="C56" s="39">
        <v>46044601</v>
      </c>
      <c r="D56" s="81">
        <f t="shared" si="1"/>
        <v>1.5966325997699493</v>
      </c>
    </row>
    <row r="57" spans="1:4" x14ac:dyDescent="0.25">
      <c r="A57" s="38">
        <v>2012</v>
      </c>
      <c r="B57" s="69">
        <f>'Import 05'!B23</f>
        <v>92.507591000000005</v>
      </c>
      <c r="C57" s="40">
        <v>46581823</v>
      </c>
      <c r="D57" s="81">
        <f t="shared" si="1"/>
        <v>1.9859160728853398</v>
      </c>
    </row>
    <row r="58" spans="1:4" x14ac:dyDescent="0.25">
      <c r="A58" s="37">
        <v>2013</v>
      </c>
      <c r="B58" s="69">
        <f>'Import 05'!B24</f>
        <v>115.993036</v>
      </c>
      <c r="C58" s="39">
        <v>47121089</v>
      </c>
      <c r="D58" s="81">
        <f t="shared" si="1"/>
        <v>2.461594977144947</v>
      </c>
    </row>
    <row r="59" spans="1:4" x14ac:dyDescent="0.25">
      <c r="A59" s="38">
        <v>2014</v>
      </c>
      <c r="B59" s="69">
        <f>'Import 05'!B25</f>
        <v>142.43887699999999</v>
      </c>
      <c r="C59" s="40">
        <v>47661787</v>
      </c>
      <c r="D59" s="81">
        <f t="shared" si="1"/>
        <v>2.988534126930658</v>
      </c>
    </row>
    <row r="60" spans="1:4" x14ac:dyDescent="0.25">
      <c r="A60" s="37">
        <v>2015</v>
      </c>
      <c r="B60" s="69">
        <f>'Import 05'!B26</f>
        <v>129.08264399999999</v>
      </c>
      <c r="C60" s="39">
        <v>48203405</v>
      </c>
      <c r="D60" s="81">
        <f t="shared" si="1"/>
        <v>2.677873980064271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108" t="s">
        <v>3</v>
      </c>
      <c r="B64" s="34" t="s">
        <v>65</v>
      </c>
      <c r="C64" s="34" t="s">
        <v>68</v>
      </c>
      <c r="D64" s="34" t="s">
        <v>132</v>
      </c>
    </row>
    <row r="65" spans="1:10" x14ac:dyDescent="0.25">
      <c r="A65" s="37">
        <v>1991</v>
      </c>
      <c r="B65" s="69">
        <f>'Apertura 05'!B213</f>
        <v>186.107427</v>
      </c>
      <c r="C65" s="39">
        <v>34830570</v>
      </c>
      <c r="D65" s="35">
        <f t="shared" ref="D65:D89" si="2">(B65/C65)*1000000</f>
        <v>5.3432208258435043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69">
        <f>'Apertura 05'!B214</f>
        <v>173.103004</v>
      </c>
      <c r="C66" s="40">
        <v>35520940</v>
      </c>
      <c r="D66" s="35">
        <f t="shared" si="2"/>
        <v>4.8732664169360378</v>
      </c>
    </row>
    <row r="67" spans="1:10" x14ac:dyDescent="0.25">
      <c r="A67" s="37">
        <v>1993</v>
      </c>
      <c r="B67" s="69">
        <f>'Apertura 05'!B215</f>
        <v>218.984487</v>
      </c>
      <c r="C67" s="39">
        <v>36207108</v>
      </c>
      <c r="D67" s="35">
        <f t="shared" si="2"/>
        <v>6.0481076533370191</v>
      </c>
    </row>
    <row r="68" spans="1:10" x14ac:dyDescent="0.25">
      <c r="A68" s="38">
        <v>1994</v>
      </c>
      <c r="B68" s="69">
        <f>'Apertura 05'!B216</f>
        <v>273.70874000000003</v>
      </c>
      <c r="C68" s="40">
        <v>36853905</v>
      </c>
      <c r="D68" s="35">
        <f t="shared" si="2"/>
        <v>7.4268585649200549</v>
      </c>
    </row>
    <row r="69" spans="1:10" x14ac:dyDescent="0.25">
      <c r="A69" s="37">
        <v>1995</v>
      </c>
      <c r="B69" s="69">
        <f>'Apertura 05'!B217</f>
        <v>207.62341600000002</v>
      </c>
      <c r="C69" s="39">
        <v>37472184</v>
      </c>
      <c r="D69" s="35">
        <f t="shared" si="2"/>
        <v>5.5407343217571743</v>
      </c>
    </row>
    <row r="70" spans="1:10" x14ac:dyDescent="0.25">
      <c r="A70" s="38">
        <v>1996</v>
      </c>
      <c r="B70" s="69">
        <f>'Apertura 05'!B218</f>
        <v>175.37612200000001</v>
      </c>
      <c r="C70" s="40">
        <v>38068050</v>
      </c>
      <c r="D70" s="35">
        <f t="shared" si="2"/>
        <v>4.6069110973638008</v>
      </c>
    </row>
    <row r="71" spans="1:10" x14ac:dyDescent="0.25">
      <c r="A71" s="37">
        <v>1997</v>
      </c>
      <c r="B71" s="69">
        <f>'Apertura 05'!B219</f>
        <v>216.974152</v>
      </c>
      <c r="C71" s="39">
        <v>38635691</v>
      </c>
      <c r="D71" s="35">
        <f t="shared" si="2"/>
        <v>5.6158993506806958</v>
      </c>
    </row>
    <row r="72" spans="1:10" x14ac:dyDescent="0.25">
      <c r="A72" s="38">
        <v>1998</v>
      </c>
      <c r="B72" s="69">
        <f>'Apertura 05'!B220</f>
        <v>188.64477199999999</v>
      </c>
      <c r="C72" s="40">
        <v>39184456</v>
      </c>
      <c r="D72" s="35">
        <f t="shared" si="2"/>
        <v>4.8142756403202327</v>
      </c>
    </row>
    <row r="73" spans="1:10" x14ac:dyDescent="0.25">
      <c r="A73" s="37">
        <v>1999</v>
      </c>
      <c r="B73" s="69">
        <f>'Apertura 05'!B221</f>
        <v>257.073216</v>
      </c>
      <c r="C73" s="39">
        <v>39730798</v>
      </c>
      <c r="D73" s="35">
        <f t="shared" si="2"/>
        <v>6.470376356397372</v>
      </c>
    </row>
    <row r="74" spans="1:10" x14ac:dyDescent="0.25">
      <c r="A74" s="38">
        <v>2000</v>
      </c>
      <c r="B74" s="69">
        <f>'Apertura 05'!B222</f>
        <v>227.805204</v>
      </c>
      <c r="C74" s="40">
        <v>40295563</v>
      </c>
      <c r="D74" s="35">
        <f t="shared" si="2"/>
        <v>5.6533570209702741</v>
      </c>
    </row>
    <row r="75" spans="1:10" x14ac:dyDescent="0.25">
      <c r="A75" s="37">
        <v>2001</v>
      </c>
      <c r="B75" s="69">
        <f>'Apertura 05'!B223</f>
        <v>197.53136799999999</v>
      </c>
      <c r="C75" s="39">
        <v>40813541</v>
      </c>
      <c r="D75" s="35">
        <f t="shared" si="2"/>
        <v>4.8398488139022291</v>
      </c>
    </row>
    <row r="76" spans="1:10" x14ac:dyDescent="0.25">
      <c r="A76" s="38">
        <v>2002</v>
      </c>
      <c r="B76" s="69">
        <f>'Apertura 05'!B224</f>
        <v>205.55497600000001</v>
      </c>
      <c r="C76" s="40">
        <v>41328824</v>
      </c>
      <c r="D76" s="35">
        <f t="shared" si="2"/>
        <v>4.973646866893672</v>
      </c>
    </row>
    <row r="77" spans="1:10" x14ac:dyDescent="0.25">
      <c r="A77" s="37">
        <v>2003</v>
      </c>
      <c r="B77" s="69">
        <f>'Apertura 05'!B225</f>
        <v>192.190448</v>
      </c>
      <c r="C77" s="39">
        <v>41848959</v>
      </c>
      <c r="D77" s="35">
        <f t="shared" si="2"/>
        <v>4.5924785847122269</v>
      </c>
    </row>
    <row r="78" spans="1:10" x14ac:dyDescent="0.25">
      <c r="A78" s="38">
        <v>2004</v>
      </c>
      <c r="B78" s="69">
        <f>'Apertura 05'!B226</f>
        <v>187.17767600000002</v>
      </c>
      <c r="C78" s="40">
        <v>42368489</v>
      </c>
      <c r="D78" s="35">
        <f t="shared" si="2"/>
        <v>4.4178511062785368</v>
      </c>
    </row>
    <row r="79" spans="1:10" x14ac:dyDescent="0.25">
      <c r="A79" s="37">
        <v>2005</v>
      </c>
      <c r="B79" s="69">
        <f>'Apertura 05'!B227</f>
        <v>232.028919</v>
      </c>
      <c r="C79" s="39">
        <v>42888592</v>
      </c>
      <c r="D79" s="35">
        <f t="shared" si="2"/>
        <v>5.4100381518703156</v>
      </c>
    </row>
    <row r="80" spans="1:10" x14ac:dyDescent="0.25">
      <c r="A80" s="38">
        <v>2006</v>
      </c>
      <c r="B80" s="69">
        <f>'Apertura 05'!B228</f>
        <v>231.395509</v>
      </c>
      <c r="C80" s="40">
        <v>43405956</v>
      </c>
      <c r="D80" s="35">
        <f t="shared" si="2"/>
        <v>5.3309621610453641</v>
      </c>
    </row>
    <row r="81" spans="1:4" x14ac:dyDescent="0.25">
      <c r="A81" s="37">
        <v>2007</v>
      </c>
      <c r="B81" s="69">
        <f>'Apertura 05'!B229</f>
        <v>217.31656100000001</v>
      </c>
      <c r="C81" s="39">
        <v>43926929</v>
      </c>
      <c r="D81" s="35">
        <f t="shared" si="2"/>
        <v>4.9472286350816832</v>
      </c>
    </row>
    <row r="82" spans="1:4" x14ac:dyDescent="0.25">
      <c r="A82" s="38">
        <v>2008</v>
      </c>
      <c r="B82" s="69">
        <f>'Apertura 05'!B230</f>
        <v>249.60987699999998</v>
      </c>
      <c r="C82" s="40">
        <v>44451147</v>
      </c>
      <c r="D82" s="35">
        <f t="shared" si="2"/>
        <v>5.6153753917756042</v>
      </c>
    </row>
    <row r="83" spans="1:4" x14ac:dyDescent="0.25">
      <c r="A83" s="37">
        <v>2009</v>
      </c>
      <c r="B83" s="69">
        <f>'Apertura 05'!B231</f>
        <v>347.36110500000001</v>
      </c>
      <c r="C83" s="39">
        <v>44978832</v>
      </c>
      <c r="D83" s="35">
        <f t="shared" si="2"/>
        <v>7.722768456948816</v>
      </c>
    </row>
    <row r="84" spans="1:4" x14ac:dyDescent="0.25">
      <c r="A84" s="38">
        <v>2010</v>
      </c>
      <c r="B84" s="69">
        <f>'Apertura 05'!B232</f>
        <v>316.24375099999997</v>
      </c>
      <c r="C84" s="40">
        <v>45509584</v>
      </c>
      <c r="D84" s="35">
        <f t="shared" si="2"/>
        <v>6.9489484017256666</v>
      </c>
    </row>
    <row r="85" spans="1:4" x14ac:dyDescent="0.25">
      <c r="A85" s="37">
        <v>2011</v>
      </c>
      <c r="B85" s="69">
        <f>'Apertura 05'!B233</f>
        <v>307.47316000000001</v>
      </c>
      <c r="C85" s="39">
        <v>46044601</v>
      </c>
      <c r="D85" s="35">
        <f t="shared" si="2"/>
        <v>6.6777244958643474</v>
      </c>
    </row>
    <row r="86" spans="1:4" x14ac:dyDescent="0.25">
      <c r="A86" s="38">
        <v>2012</v>
      </c>
      <c r="B86" s="69">
        <f>'Apertura 05'!B234</f>
        <v>361.42174799999998</v>
      </c>
      <c r="C86" s="40">
        <v>46581823</v>
      </c>
      <c r="D86" s="35">
        <f t="shared" si="2"/>
        <v>7.7588579562461515</v>
      </c>
    </row>
    <row r="87" spans="1:4" x14ac:dyDescent="0.25">
      <c r="A87" s="37">
        <v>2013</v>
      </c>
      <c r="B87" s="69">
        <f>'Apertura 05'!B235</f>
        <v>358.40881899999999</v>
      </c>
      <c r="C87" s="39">
        <v>47121089</v>
      </c>
      <c r="D87" s="35">
        <f t="shared" si="2"/>
        <v>7.6061234280897034</v>
      </c>
    </row>
    <row r="88" spans="1:4" x14ac:dyDescent="0.25">
      <c r="A88" s="38">
        <v>2014</v>
      </c>
      <c r="B88" s="69">
        <f>'Apertura 05'!B236</f>
        <v>408.861445</v>
      </c>
      <c r="C88" s="40">
        <v>47661787</v>
      </c>
      <c r="D88" s="35">
        <f t="shared" si="2"/>
        <v>8.5783910074542522</v>
      </c>
    </row>
    <row r="89" spans="1:4" x14ac:dyDescent="0.25">
      <c r="A89" s="37">
        <v>2015</v>
      </c>
      <c r="B89" s="69">
        <f>'Apertura 05'!B237</f>
        <v>338.56045399999999</v>
      </c>
      <c r="C89" s="39">
        <v>48203405</v>
      </c>
      <c r="D89" s="35">
        <f t="shared" si="2"/>
        <v>7.0235796413137201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108" t="s">
        <v>3</v>
      </c>
      <c r="B96" s="34" t="s">
        <v>8</v>
      </c>
      <c r="C96" s="34" t="s">
        <v>35</v>
      </c>
      <c r="D96" s="34" t="s">
        <v>38</v>
      </c>
    </row>
    <row r="97" spans="1:11" x14ac:dyDescent="0.25">
      <c r="A97" s="37">
        <v>1991</v>
      </c>
      <c r="B97" s="69">
        <f t="shared" ref="B97:B121" si="3">B36</f>
        <v>11.072051</v>
      </c>
      <c r="C97" s="39">
        <v>253620000</v>
      </c>
      <c r="D97" s="35">
        <f t="shared" ref="D97:D121" si="4">(B97/C97)*1000000</f>
        <v>4.3656064190521253E-2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69">
        <f t="shared" si="3"/>
        <v>14.555948000000001</v>
      </c>
      <c r="C98" s="40">
        <v>256516000</v>
      </c>
      <c r="D98" s="35">
        <f t="shared" si="4"/>
        <v>5.6744795646275478E-2</v>
      </c>
    </row>
    <row r="99" spans="1:11" x14ac:dyDescent="0.25">
      <c r="A99" s="37">
        <v>1993</v>
      </c>
      <c r="B99" s="69">
        <f t="shared" si="3"/>
        <v>8.8777670000000004</v>
      </c>
      <c r="C99" s="39">
        <v>259131000</v>
      </c>
      <c r="D99" s="35">
        <f t="shared" si="4"/>
        <v>3.4259764366285778E-2</v>
      </c>
    </row>
    <row r="100" spans="1:11" x14ac:dyDescent="0.25">
      <c r="A100" s="38">
        <v>1994</v>
      </c>
      <c r="B100" s="69">
        <f t="shared" si="3"/>
        <v>30.067668000000001</v>
      </c>
      <c r="C100" s="40">
        <v>264061000</v>
      </c>
      <c r="D100" s="35">
        <f t="shared" si="4"/>
        <v>0.11386637178530719</v>
      </c>
    </row>
    <row r="101" spans="1:11" x14ac:dyDescent="0.25">
      <c r="A101" s="37">
        <v>1995</v>
      </c>
      <c r="B101" s="69">
        <f t="shared" si="3"/>
        <v>30.092663999999999</v>
      </c>
      <c r="C101" s="39">
        <v>266398000</v>
      </c>
      <c r="D101" s="35">
        <f t="shared" si="4"/>
        <v>0.11296129850824706</v>
      </c>
    </row>
    <row r="102" spans="1:11" x14ac:dyDescent="0.25">
      <c r="A102" s="38">
        <v>1996</v>
      </c>
      <c r="B102" s="69">
        <f t="shared" si="3"/>
        <v>26.35585</v>
      </c>
      <c r="C102" s="40">
        <v>268930000</v>
      </c>
      <c r="D102" s="35">
        <f t="shared" si="4"/>
        <v>9.8002640092217305E-2</v>
      </c>
    </row>
    <row r="103" spans="1:11" x14ac:dyDescent="0.25">
      <c r="A103" s="37">
        <v>1997</v>
      </c>
      <c r="B103" s="69">
        <f t="shared" si="3"/>
        <v>33.721240000000002</v>
      </c>
      <c r="C103" s="39">
        <v>271387000</v>
      </c>
      <c r="D103" s="35">
        <f t="shared" si="4"/>
        <v>0.12425517802989826</v>
      </c>
    </row>
    <row r="104" spans="1:11" x14ac:dyDescent="0.25">
      <c r="A104" s="38">
        <v>1998</v>
      </c>
      <c r="B104" s="69">
        <f t="shared" si="3"/>
        <v>28.083924</v>
      </c>
      <c r="C104" s="40">
        <v>271584000</v>
      </c>
      <c r="D104" s="35">
        <f t="shared" si="4"/>
        <v>0.10340787380699894</v>
      </c>
    </row>
    <row r="105" spans="1:11" x14ac:dyDescent="0.25">
      <c r="A105" s="37">
        <v>1999</v>
      </c>
      <c r="B105" s="69">
        <f t="shared" si="3"/>
        <v>23.445456</v>
      </c>
      <c r="C105" s="39">
        <v>274024000</v>
      </c>
      <c r="D105" s="35">
        <f t="shared" si="4"/>
        <v>8.5559863369631867E-2</v>
      </c>
    </row>
    <row r="106" spans="1:11" x14ac:dyDescent="0.25">
      <c r="A106" s="38">
        <v>2000</v>
      </c>
      <c r="B106" s="69">
        <f t="shared" si="3"/>
        <v>22.130406000000001</v>
      </c>
      <c r="C106" s="40">
        <v>284968955</v>
      </c>
      <c r="D106" s="35">
        <f t="shared" si="4"/>
        <v>7.7659006750401993E-2</v>
      </c>
    </row>
    <row r="107" spans="1:11" x14ac:dyDescent="0.25">
      <c r="A107" s="37">
        <v>2001</v>
      </c>
      <c r="B107" s="69">
        <f t="shared" si="3"/>
        <v>17.19295</v>
      </c>
      <c r="C107" s="39">
        <v>287625193</v>
      </c>
      <c r="D107" s="35">
        <f t="shared" si="4"/>
        <v>5.9775535726454949E-2</v>
      </c>
    </row>
    <row r="108" spans="1:11" x14ac:dyDescent="0.25">
      <c r="A108" s="38">
        <v>2002</v>
      </c>
      <c r="B108" s="69">
        <f t="shared" si="3"/>
        <v>16.889787999999999</v>
      </c>
      <c r="C108" s="40">
        <v>290107933</v>
      </c>
      <c r="D108" s="35">
        <f t="shared" si="4"/>
        <v>5.8218980175216366E-2</v>
      </c>
    </row>
    <row r="109" spans="1:11" x14ac:dyDescent="0.25">
      <c r="A109" s="37">
        <v>2003</v>
      </c>
      <c r="B109" s="69">
        <f t="shared" si="3"/>
        <v>14.306723</v>
      </c>
      <c r="C109" s="39">
        <v>292805298</v>
      </c>
      <c r="D109" s="35">
        <f t="shared" si="4"/>
        <v>4.886087477829721E-2</v>
      </c>
    </row>
    <row r="110" spans="1:11" x14ac:dyDescent="0.25">
      <c r="A110" s="38">
        <v>2004</v>
      </c>
      <c r="B110" s="69">
        <f t="shared" si="3"/>
        <v>16.921779000000001</v>
      </c>
      <c r="C110" s="40">
        <v>295516599</v>
      </c>
      <c r="D110" s="35">
        <f t="shared" si="4"/>
        <v>5.7261687016098885E-2</v>
      </c>
    </row>
    <row r="111" spans="1:11" x14ac:dyDescent="0.25">
      <c r="A111" s="37">
        <v>2005</v>
      </c>
      <c r="B111" s="69">
        <f t="shared" si="3"/>
        <v>22.815715000000001</v>
      </c>
      <c r="C111" s="39">
        <v>298379912</v>
      </c>
      <c r="D111" s="35">
        <f t="shared" si="4"/>
        <v>7.6465318482968114E-2</v>
      </c>
    </row>
    <row r="112" spans="1:11" x14ac:dyDescent="0.25">
      <c r="A112" s="38">
        <v>2006</v>
      </c>
      <c r="B112" s="69">
        <f t="shared" si="3"/>
        <v>25.711245000000002</v>
      </c>
      <c r="C112" s="40">
        <v>301231207</v>
      </c>
      <c r="D112" s="35">
        <f t="shared" si="4"/>
        <v>8.535385578427139E-2</v>
      </c>
    </row>
    <row r="113" spans="1:11" x14ac:dyDescent="0.25">
      <c r="A113" s="37">
        <v>2007</v>
      </c>
      <c r="B113" s="69">
        <f t="shared" si="3"/>
        <v>37.885289</v>
      </c>
      <c r="C113" s="39">
        <v>304093966</v>
      </c>
      <c r="D113" s="35">
        <f t="shared" si="4"/>
        <v>0.12458415238663433</v>
      </c>
    </row>
    <row r="114" spans="1:11" x14ac:dyDescent="0.25">
      <c r="A114" s="38">
        <v>2008</v>
      </c>
      <c r="B114" s="69">
        <f t="shared" si="3"/>
        <v>41.289866000000004</v>
      </c>
      <c r="C114" s="40">
        <v>306771529</v>
      </c>
      <c r="D114" s="35">
        <f t="shared" si="4"/>
        <v>0.13459484370858943</v>
      </c>
    </row>
    <row r="115" spans="1:11" x14ac:dyDescent="0.25">
      <c r="A115" s="37">
        <v>2009</v>
      </c>
      <c r="B115" s="69">
        <f t="shared" si="3"/>
        <v>54.413074000000002</v>
      </c>
      <c r="C115" s="39">
        <v>308745538</v>
      </c>
      <c r="D115" s="35">
        <f t="shared" si="4"/>
        <v>0.1762392239009459</v>
      </c>
    </row>
    <row r="116" spans="1:11" x14ac:dyDescent="0.25">
      <c r="A116" s="38">
        <v>2010</v>
      </c>
      <c r="B116" s="69">
        <f t="shared" si="3"/>
        <v>50.402794</v>
      </c>
      <c r="C116" s="40">
        <v>309347057</v>
      </c>
      <c r="D116" s="35">
        <f t="shared" si="4"/>
        <v>0.16293283824581528</v>
      </c>
    </row>
    <row r="117" spans="1:11" x14ac:dyDescent="0.25">
      <c r="A117" s="37">
        <v>2011</v>
      </c>
      <c r="B117" s="69">
        <f t="shared" si="3"/>
        <v>73.516311000000002</v>
      </c>
      <c r="C117" s="39">
        <v>311721632</v>
      </c>
      <c r="D117" s="35">
        <f t="shared" si="4"/>
        <v>0.23583961924079752</v>
      </c>
    </row>
    <row r="118" spans="1:11" x14ac:dyDescent="0.25">
      <c r="A118" s="38">
        <v>2012</v>
      </c>
      <c r="B118" s="69">
        <f t="shared" si="3"/>
        <v>92.507591000000005</v>
      </c>
      <c r="C118" s="40">
        <v>314112078</v>
      </c>
      <c r="D118" s="35">
        <f t="shared" si="4"/>
        <v>0.29450504287835755</v>
      </c>
    </row>
    <row r="119" spans="1:11" x14ac:dyDescent="0.25">
      <c r="A119" s="37">
        <v>2013</v>
      </c>
      <c r="B119" s="69">
        <f t="shared" si="3"/>
        <v>115.993036</v>
      </c>
      <c r="C119" s="39">
        <v>316497531</v>
      </c>
      <c r="D119" s="35">
        <f t="shared" si="4"/>
        <v>0.3664895445898439</v>
      </c>
    </row>
    <row r="120" spans="1:11" x14ac:dyDescent="0.25">
      <c r="A120" s="38">
        <v>2014</v>
      </c>
      <c r="B120" s="69">
        <f t="shared" si="3"/>
        <v>142.43887699999999</v>
      </c>
      <c r="C120" s="40">
        <v>318857056</v>
      </c>
      <c r="D120" s="35">
        <f t="shared" si="4"/>
        <v>0.44671702984048123</v>
      </c>
    </row>
    <row r="121" spans="1:11" x14ac:dyDescent="0.25">
      <c r="A121" s="37">
        <v>2015</v>
      </c>
      <c r="B121" s="69">
        <f t="shared" si="3"/>
        <v>129.08264399999999</v>
      </c>
      <c r="C121" s="39">
        <v>321418820</v>
      </c>
      <c r="D121" s="35">
        <f t="shared" si="4"/>
        <v>0.40160263173139638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</row>
    <row r="126" spans="1:11" ht="60" x14ac:dyDescent="0.25">
      <c r="A126" s="108" t="s">
        <v>3</v>
      </c>
      <c r="B126" s="34" t="s">
        <v>16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>
        <f t="shared" ref="B127:B151" si="5">B6</f>
        <v>175.03537600000001</v>
      </c>
      <c r="C127" s="39">
        <v>253620000</v>
      </c>
      <c r="D127" s="81">
        <f t="shared" ref="D127:D151" si="6">(B127*1000000/C127)</f>
        <v>0.69014815866256607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69">
        <f t="shared" si="5"/>
        <v>158.547056</v>
      </c>
      <c r="C128" s="40">
        <v>256516000</v>
      </c>
      <c r="D128" s="81">
        <f t="shared" si="6"/>
        <v>0.61807862277596715</v>
      </c>
    </row>
    <row r="129" spans="1:4" x14ac:dyDescent="0.25">
      <c r="A129" s="37">
        <v>1993</v>
      </c>
      <c r="B129" s="69">
        <f t="shared" si="5"/>
        <v>210.10672</v>
      </c>
      <c r="C129" s="39">
        <v>259131000</v>
      </c>
      <c r="D129" s="81">
        <f t="shared" si="6"/>
        <v>0.81081275493862182</v>
      </c>
    </row>
    <row r="130" spans="1:4" x14ac:dyDescent="0.25">
      <c r="A130" s="38">
        <v>1994</v>
      </c>
      <c r="B130" s="69">
        <f t="shared" si="5"/>
        <v>243.64107200000001</v>
      </c>
      <c r="C130" s="40">
        <v>264061000</v>
      </c>
      <c r="D130" s="81">
        <f t="shared" si="6"/>
        <v>0.9226696558749683</v>
      </c>
    </row>
    <row r="131" spans="1:4" x14ac:dyDescent="0.25">
      <c r="A131" s="37">
        <v>1995</v>
      </c>
      <c r="B131" s="69">
        <f t="shared" si="5"/>
        <v>177.53075200000001</v>
      </c>
      <c r="C131" s="39">
        <v>266398000</v>
      </c>
      <c r="D131" s="81">
        <f t="shared" si="6"/>
        <v>0.6664117298177914</v>
      </c>
    </row>
    <row r="132" spans="1:4" x14ac:dyDescent="0.25">
      <c r="A132" s="38">
        <v>1996</v>
      </c>
      <c r="B132" s="69">
        <f t="shared" si="5"/>
        <v>149.02027200000001</v>
      </c>
      <c r="C132" s="40">
        <v>268930000</v>
      </c>
      <c r="D132" s="81">
        <f t="shared" si="6"/>
        <v>0.55412290187037516</v>
      </c>
    </row>
    <row r="133" spans="1:4" x14ac:dyDescent="0.25">
      <c r="A133" s="37">
        <v>1997</v>
      </c>
      <c r="B133" s="69">
        <f t="shared" si="5"/>
        <v>183.25291200000001</v>
      </c>
      <c r="C133" s="39">
        <v>271387000</v>
      </c>
      <c r="D133" s="81">
        <f t="shared" si="6"/>
        <v>0.6752457265823345</v>
      </c>
    </row>
    <row r="134" spans="1:4" x14ac:dyDescent="0.25">
      <c r="A134" s="38">
        <v>1998</v>
      </c>
      <c r="B134" s="69">
        <f t="shared" si="5"/>
        <v>160.56084799999999</v>
      </c>
      <c r="C134" s="40">
        <v>271584000</v>
      </c>
      <c r="D134" s="81">
        <f t="shared" si="6"/>
        <v>0.5912014257099093</v>
      </c>
    </row>
    <row r="135" spans="1:4" x14ac:dyDescent="0.25">
      <c r="A135" s="37">
        <v>1999</v>
      </c>
      <c r="B135" s="69">
        <f t="shared" si="5"/>
        <v>233.62775999999999</v>
      </c>
      <c r="C135" s="39">
        <v>274024000</v>
      </c>
      <c r="D135" s="81">
        <f t="shared" si="6"/>
        <v>0.85258137973316206</v>
      </c>
    </row>
    <row r="136" spans="1:4" x14ac:dyDescent="0.25">
      <c r="A136" s="38">
        <v>2000</v>
      </c>
      <c r="B136" s="69">
        <f t="shared" si="5"/>
        <v>205.67479800000001</v>
      </c>
      <c r="C136" s="40">
        <v>284968955</v>
      </c>
      <c r="D136" s="81">
        <f t="shared" si="6"/>
        <v>0.7217445774049317</v>
      </c>
    </row>
    <row r="137" spans="1:4" x14ac:dyDescent="0.25">
      <c r="A137" s="37">
        <v>2001</v>
      </c>
      <c r="B137" s="69">
        <f t="shared" si="5"/>
        <v>180.33841799999999</v>
      </c>
      <c r="C137" s="39">
        <v>287625193</v>
      </c>
      <c r="D137" s="81">
        <f t="shared" si="6"/>
        <v>0.62699103690823077</v>
      </c>
    </row>
    <row r="138" spans="1:4" x14ac:dyDescent="0.25">
      <c r="A138" s="38">
        <v>2002</v>
      </c>
      <c r="B138" s="69">
        <f t="shared" si="5"/>
        <v>188.665188</v>
      </c>
      <c r="C138" s="40">
        <v>290107933</v>
      </c>
      <c r="D138" s="81">
        <f t="shared" si="6"/>
        <v>0.65032757308294631</v>
      </c>
    </row>
    <row r="139" spans="1:4" x14ac:dyDescent="0.25">
      <c r="A139" s="37">
        <v>2003</v>
      </c>
      <c r="B139" s="69">
        <f t="shared" si="5"/>
        <v>177.883725</v>
      </c>
      <c r="C139" s="39">
        <v>292805298</v>
      </c>
      <c r="D139" s="81">
        <f t="shared" si="6"/>
        <v>0.60751539065389448</v>
      </c>
    </row>
    <row r="140" spans="1:4" x14ac:dyDescent="0.25">
      <c r="A140" s="38">
        <v>2004</v>
      </c>
      <c r="B140" s="69">
        <f t="shared" si="5"/>
        <v>170.255897</v>
      </c>
      <c r="C140" s="40">
        <v>295516599</v>
      </c>
      <c r="D140" s="81">
        <f t="shared" si="6"/>
        <v>0.57612972528829087</v>
      </c>
    </row>
    <row r="141" spans="1:4" x14ac:dyDescent="0.25">
      <c r="A141" s="37">
        <v>2005</v>
      </c>
      <c r="B141" s="69">
        <f t="shared" si="5"/>
        <v>209.21320399999999</v>
      </c>
      <c r="C141" s="39">
        <v>298379912</v>
      </c>
      <c r="D141" s="81">
        <f t="shared" si="6"/>
        <v>0.70116383706152441</v>
      </c>
    </row>
    <row r="142" spans="1:4" x14ac:dyDescent="0.25">
      <c r="A142" s="38">
        <v>2006</v>
      </c>
      <c r="B142" s="69">
        <f t="shared" si="5"/>
        <v>205.68426400000001</v>
      </c>
      <c r="C142" s="40">
        <v>301231207</v>
      </c>
      <c r="D142" s="81">
        <f t="shared" si="6"/>
        <v>0.68281193721074196</v>
      </c>
    </row>
    <row r="143" spans="1:4" x14ac:dyDescent="0.25">
      <c r="A143" s="37">
        <v>2007</v>
      </c>
      <c r="B143" s="69">
        <f t="shared" si="5"/>
        <v>179.43127200000001</v>
      </c>
      <c r="C143" s="39">
        <v>304093966</v>
      </c>
      <c r="D143" s="81">
        <f t="shared" si="6"/>
        <v>0.59005206305211588</v>
      </c>
    </row>
    <row r="144" spans="1:4" x14ac:dyDescent="0.25">
      <c r="A144" s="38">
        <v>2008</v>
      </c>
      <c r="B144" s="69">
        <f t="shared" si="5"/>
        <v>208.32001099999999</v>
      </c>
      <c r="C144" s="40">
        <v>306771529</v>
      </c>
      <c r="D144" s="81">
        <f t="shared" si="6"/>
        <v>0.67907218013051007</v>
      </c>
    </row>
    <row r="145" spans="1:10" x14ac:dyDescent="0.25">
      <c r="A145" s="37">
        <v>2009</v>
      </c>
      <c r="B145" s="69">
        <f t="shared" si="5"/>
        <v>292.94803100000001</v>
      </c>
      <c r="C145" s="39">
        <v>308745538</v>
      </c>
      <c r="D145" s="81">
        <f t="shared" si="6"/>
        <v>0.94883324597228669</v>
      </c>
    </row>
    <row r="146" spans="1:10" x14ac:dyDescent="0.25">
      <c r="A146" s="38">
        <v>2010</v>
      </c>
      <c r="B146" s="69">
        <f t="shared" si="5"/>
        <v>265.840957</v>
      </c>
      <c r="C146" s="40">
        <v>309347057</v>
      </c>
      <c r="D146" s="81">
        <f t="shared" si="6"/>
        <v>0.85936151964102891</v>
      </c>
    </row>
    <row r="147" spans="1:10" x14ac:dyDescent="0.25">
      <c r="A147" s="37">
        <v>2011</v>
      </c>
      <c r="B147" s="69">
        <f t="shared" si="5"/>
        <v>233.95684900000001</v>
      </c>
      <c r="C147" s="39">
        <v>311721632</v>
      </c>
      <c r="D147" s="81">
        <f t="shared" si="6"/>
        <v>0.75053132340844408</v>
      </c>
    </row>
    <row r="148" spans="1:10" x14ac:dyDescent="0.25">
      <c r="A148" s="38">
        <v>2012</v>
      </c>
      <c r="B148" s="69">
        <f t="shared" si="5"/>
        <v>268.91415699999999</v>
      </c>
      <c r="C148" s="40">
        <v>314112078</v>
      </c>
      <c r="D148" s="81">
        <f t="shared" si="6"/>
        <v>0.85610893637779828</v>
      </c>
    </row>
    <row r="149" spans="1:10" x14ac:dyDescent="0.25">
      <c r="A149" s="37">
        <v>2013</v>
      </c>
      <c r="B149" s="69">
        <f t="shared" si="5"/>
        <v>242.415783</v>
      </c>
      <c r="C149" s="39">
        <v>316497531</v>
      </c>
      <c r="D149" s="81">
        <f t="shared" si="6"/>
        <v>0.76593261955019798</v>
      </c>
    </row>
    <row r="150" spans="1:10" x14ac:dyDescent="0.25">
      <c r="A150" s="38">
        <v>2014</v>
      </c>
      <c r="B150" s="69">
        <f t="shared" si="5"/>
        <v>266.42256800000001</v>
      </c>
      <c r="C150" s="40">
        <v>318857056</v>
      </c>
      <c r="D150" s="81">
        <f t="shared" si="6"/>
        <v>0.83555487635186598</v>
      </c>
    </row>
    <row r="151" spans="1:10" x14ac:dyDescent="0.25">
      <c r="A151" s="37">
        <v>2015</v>
      </c>
      <c r="B151" s="69">
        <f t="shared" si="5"/>
        <v>209.47781000000001</v>
      </c>
      <c r="C151" s="39">
        <v>321418820</v>
      </c>
      <c r="D151" s="81">
        <f t="shared" si="6"/>
        <v>0.65172851421705802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108" t="s">
        <v>3</v>
      </c>
      <c r="B155" s="34" t="s">
        <v>67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88">
        <f t="shared" ref="B156:B180" si="7">B65</f>
        <v>186.107427</v>
      </c>
      <c r="C156" s="39">
        <v>253620000</v>
      </c>
      <c r="D156" s="81">
        <f t="shared" ref="D156:D180" si="8">(B156/C156)*1000000</f>
        <v>0.73380422285308722</v>
      </c>
    </row>
    <row r="157" spans="1:10" x14ac:dyDescent="0.25">
      <c r="A157" s="38">
        <v>1992</v>
      </c>
      <c r="B157" s="88">
        <f t="shared" si="7"/>
        <v>173.103004</v>
      </c>
      <c r="C157" s="40">
        <v>256516000</v>
      </c>
      <c r="D157" s="81">
        <f t="shared" si="8"/>
        <v>0.67482341842224269</v>
      </c>
    </row>
    <row r="158" spans="1:10" x14ac:dyDescent="0.25">
      <c r="A158" s="37">
        <v>1993</v>
      </c>
      <c r="B158" s="88">
        <f t="shared" si="7"/>
        <v>218.984487</v>
      </c>
      <c r="C158" s="39">
        <v>259131000</v>
      </c>
      <c r="D158" s="81">
        <f t="shared" si="8"/>
        <v>0.84507251930490757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88">
        <f t="shared" si="7"/>
        <v>273.70874000000003</v>
      </c>
      <c r="C159" s="40">
        <v>264061000</v>
      </c>
      <c r="D159" s="81">
        <f t="shared" si="8"/>
        <v>1.0365360276602755</v>
      </c>
    </row>
    <row r="160" spans="1:10" x14ac:dyDescent="0.25">
      <c r="A160" s="37">
        <v>1995</v>
      </c>
      <c r="B160" s="88">
        <f t="shared" si="7"/>
        <v>207.62341600000002</v>
      </c>
      <c r="C160" s="39">
        <v>266398000</v>
      </c>
      <c r="D160" s="81">
        <f t="shared" si="8"/>
        <v>0.7793730283260385</v>
      </c>
    </row>
    <row r="161" spans="1:4" x14ac:dyDescent="0.25">
      <c r="A161" s="38">
        <v>1996</v>
      </c>
      <c r="B161" s="88">
        <f t="shared" si="7"/>
        <v>175.37612200000001</v>
      </c>
      <c r="C161" s="40">
        <v>268930000</v>
      </c>
      <c r="D161" s="81">
        <f t="shared" si="8"/>
        <v>0.65212554196259254</v>
      </c>
    </row>
    <row r="162" spans="1:4" x14ac:dyDescent="0.25">
      <c r="A162" s="37">
        <v>1997</v>
      </c>
      <c r="B162" s="88">
        <f t="shared" si="7"/>
        <v>216.974152</v>
      </c>
      <c r="C162" s="39">
        <v>271387000</v>
      </c>
      <c r="D162" s="81">
        <f t="shared" si="8"/>
        <v>0.79950090461223267</v>
      </c>
    </row>
    <row r="163" spans="1:4" x14ac:dyDescent="0.25">
      <c r="A163" s="38">
        <v>1998</v>
      </c>
      <c r="B163" s="88">
        <f t="shared" si="7"/>
        <v>188.64477199999999</v>
      </c>
      <c r="C163" s="40">
        <v>271584000</v>
      </c>
      <c r="D163" s="81">
        <f t="shared" si="8"/>
        <v>0.6946092995169082</v>
      </c>
    </row>
    <row r="164" spans="1:4" x14ac:dyDescent="0.25">
      <c r="A164" s="37">
        <v>1999</v>
      </c>
      <c r="B164" s="88">
        <f t="shared" si="7"/>
        <v>257.073216</v>
      </c>
      <c r="C164" s="39">
        <v>274024000</v>
      </c>
      <c r="D164" s="81">
        <f t="shared" si="8"/>
        <v>0.9381412431027939</v>
      </c>
    </row>
    <row r="165" spans="1:4" x14ac:dyDescent="0.25">
      <c r="A165" s="38">
        <v>2000</v>
      </c>
      <c r="B165" s="88">
        <f t="shared" si="7"/>
        <v>227.805204</v>
      </c>
      <c r="C165" s="40">
        <v>284968955</v>
      </c>
      <c r="D165" s="81">
        <f t="shared" si="8"/>
        <v>0.79940358415533364</v>
      </c>
    </row>
    <row r="166" spans="1:4" x14ac:dyDescent="0.25">
      <c r="A166" s="37">
        <v>2001</v>
      </c>
      <c r="B166" s="88">
        <f t="shared" si="7"/>
        <v>197.53136799999999</v>
      </c>
      <c r="C166" s="39">
        <v>287625193</v>
      </c>
      <c r="D166" s="81">
        <f t="shared" si="8"/>
        <v>0.68676657263468566</v>
      </c>
    </row>
    <row r="167" spans="1:4" x14ac:dyDescent="0.25">
      <c r="A167" s="38">
        <v>2002</v>
      </c>
      <c r="B167" s="88">
        <f t="shared" si="7"/>
        <v>205.55497600000001</v>
      </c>
      <c r="C167" s="40">
        <v>290107933</v>
      </c>
      <c r="D167" s="81">
        <f t="shared" si="8"/>
        <v>0.70854655325816285</v>
      </c>
    </row>
    <row r="168" spans="1:4" x14ac:dyDescent="0.25">
      <c r="A168" s="37">
        <v>2003</v>
      </c>
      <c r="B168" s="88">
        <f t="shared" si="7"/>
        <v>192.190448</v>
      </c>
      <c r="C168" s="39">
        <v>292805298</v>
      </c>
      <c r="D168" s="81">
        <f t="shared" si="8"/>
        <v>0.65637626543219174</v>
      </c>
    </row>
    <row r="169" spans="1:4" x14ac:dyDescent="0.25">
      <c r="A169" s="38">
        <v>2004</v>
      </c>
      <c r="B169" s="88">
        <f t="shared" si="7"/>
        <v>187.17767600000002</v>
      </c>
      <c r="C169" s="40">
        <v>295516599</v>
      </c>
      <c r="D169" s="81">
        <f t="shared" si="8"/>
        <v>0.63339141230438978</v>
      </c>
    </row>
    <row r="170" spans="1:4" x14ac:dyDescent="0.25">
      <c r="A170" s="37">
        <v>2005</v>
      </c>
      <c r="B170" s="88">
        <f t="shared" si="7"/>
        <v>232.028919</v>
      </c>
      <c r="C170" s="39">
        <v>298379912</v>
      </c>
      <c r="D170" s="81">
        <f t="shared" si="8"/>
        <v>0.77762915554449252</v>
      </c>
    </row>
    <row r="171" spans="1:4" x14ac:dyDescent="0.25">
      <c r="A171" s="38">
        <v>2006</v>
      </c>
      <c r="B171" s="88">
        <f t="shared" si="7"/>
        <v>231.395509</v>
      </c>
      <c r="C171" s="40">
        <v>301231207</v>
      </c>
      <c r="D171" s="81">
        <f t="shared" si="8"/>
        <v>0.76816579299501331</v>
      </c>
    </row>
    <row r="172" spans="1:4" x14ac:dyDescent="0.25">
      <c r="A172" s="37">
        <v>2007</v>
      </c>
      <c r="B172" s="88">
        <f t="shared" si="7"/>
        <v>217.31656100000001</v>
      </c>
      <c r="C172" s="39">
        <v>304093966</v>
      </c>
      <c r="D172" s="81">
        <f t="shared" si="8"/>
        <v>0.71463621543875033</v>
      </c>
    </row>
    <row r="173" spans="1:4" x14ac:dyDescent="0.25">
      <c r="A173" s="38">
        <v>2008</v>
      </c>
      <c r="B173" s="88">
        <f t="shared" si="7"/>
        <v>249.60987699999998</v>
      </c>
      <c r="C173" s="40">
        <v>306771529</v>
      </c>
      <c r="D173" s="81">
        <f t="shared" si="8"/>
        <v>0.8136670238390995</v>
      </c>
    </row>
    <row r="174" spans="1:4" x14ac:dyDescent="0.25">
      <c r="A174" s="37">
        <v>2009</v>
      </c>
      <c r="B174" s="88">
        <f t="shared" si="7"/>
        <v>347.36110500000001</v>
      </c>
      <c r="C174" s="39">
        <v>308745538</v>
      </c>
      <c r="D174" s="81">
        <f t="shared" si="8"/>
        <v>1.1250724698732328</v>
      </c>
    </row>
    <row r="175" spans="1:4" x14ac:dyDescent="0.25">
      <c r="A175" s="38">
        <v>2010</v>
      </c>
      <c r="B175" s="88">
        <f t="shared" si="7"/>
        <v>316.24375099999997</v>
      </c>
      <c r="C175" s="40">
        <v>309347057</v>
      </c>
      <c r="D175" s="81">
        <f t="shared" si="8"/>
        <v>1.0222943578868442</v>
      </c>
    </row>
    <row r="176" spans="1:4" x14ac:dyDescent="0.25">
      <c r="A176" s="37">
        <v>2011</v>
      </c>
      <c r="B176" s="88">
        <f t="shared" si="7"/>
        <v>307.47316000000001</v>
      </c>
      <c r="C176" s="39">
        <v>311721632</v>
      </c>
      <c r="D176" s="81">
        <f t="shared" si="8"/>
        <v>0.98637094264924163</v>
      </c>
    </row>
    <row r="177" spans="1:4" x14ac:dyDescent="0.25">
      <c r="A177" s="38">
        <v>2012</v>
      </c>
      <c r="B177" s="88">
        <f t="shared" si="7"/>
        <v>361.42174799999998</v>
      </c>
      <c r="C177" s="40">
        <v>314112078</v>
      </c>
      <c r="D177" s="81">
        <f t="shared" si="8"/>
        <v>1.1506139792561558</v>
      </c>
    </row>
    <row r="178" spans="1:4" x14ac:dyDescent="0.25">
      <c r="A178" s="37">
        <v>2013</v>
      </c>
      <c r="B178" s="88">
        <f t="shared" si="7"/>
        <v>358.40881899999999</v>
      </c>
      <c r="C178" s="39">
        <v>316497531</v>
      </c>
      <c r="D178" s="81">
        <f t="shared" si="8"/>
        <v>1.132422164140042</v>
      </c>
    </row>
    <row r="179" spans="1:4" x14ac:dyDescent="0.25">
      <c r="A179" s="38">
        <v>2014</v>
      </c>
      <c r="B179" s="88">
        <f t="shared" si="7"/>
        <v>408.861445</v>
      </c>
      <c r="C179" s="40">
        <v>318857056</v>
      </c>
      <c r="D179" s="81">
        <f t="shared" si="8"/>
        <v>1.2822719061923471</v>
      </c>
    </row>
    <row r="180" spans="1:4" x14ac:dyDescent="0.25">
      <c r="A180" s="37">
        <v>2015</v>
      </c>
      <c r="B180" s="88">
        <f t="shared" si="7"/>
        <v>338.56045399999999</v>
      </c>
      <c r="C180" s="39">
        <v>321418820</v>
      </c>
      <c r="D180" s="81">
        <f t="shared" si="8"/>
        <v>1.0533311459484545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topLeftCell="A64" zoomScale="110" zoomScaleNormal="110" workbookViewId="0">
      <selection activeCell="B2" sqref="B2:E26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  <col min="12" max="12" width="12.28515625" bestFit="1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13</v>
      </c>
      <c r="D5" s="13" t="s">
        <v>14</v>
      </c>
      <c r="E5" s="14" t="s">
        <v>4</v>
      </c>
    </row>
    <row r="6" spans="2:12" x14ac:dyDescent="0.25">
      <c r="B6" s="10">
        <v>1991</v>
      </c>
      <c r="C6" s="69">
        <f>'Export 05'!B2</f>
        <v>175.03537600000001</v>
      </c>
      <c r="D6" s="2">
        <v>30.88664</v>
      </c>
      <c r="E6" s="77">
        <f t="shared" ref="E6:E30" si="0">(C6/D6)/100000000000</f>
        <v>5.6670254841575521E-11</v>
      </c>
    </row>
    <row r="7" spans="2:12" x14ac:dyDescent="0.25">
      <c r="B7" s="10">
        <v>1992</v>
      </c>
      <c r="C7" s="69">
        <f>'Export 05'!B3</f>
        <v>158.547056</v>
      </c>
      <c r="D7" s="2">
        <v>36.748779999999996</v>
      </c>
      <c r="E7" s="77">
        <f t="shared" si="0"/>
        <v>4.3143488300836118E-11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69">
        <f>'Export 05'!B4</f>
        <v>210.10672</v>
      </c>
      <c r="D8" s="2">
        <v>54.163779999999996</v>
      </c>
      <c r="E8" s="77">
        <f t="shared" si="0"/>
        <v>3.8791000184994477E-11</v>
      </c>
    </row>
    <row r="9" spans="2:12" x14ac:dyDescent="0.25">
      <c r="B9" s="10">
        <v>1994</v>
      </c>
      <c r="C9" s="69">
        <f>'Export 05'!B5</f>
        <v>243.64107200000001</v>
      </c>
      <c r="D9" s="2">
        <v>82.613830000000007</v>
      </c>
      <c r="E9" s="77">
        <f t="shared" si="0"/>
        <v>2.9491559948255635E-11</v>
      </c>
    </row>
    <row r="10" spans="2:12" x14ac:dyDescent="0.25">
      <c r="B10" s="10">
        <v>1995</v>
      </c>
      <c r="C10" s="69">
        <f>'Export 05'!B6</f>
        <v>177.53075200000001</v>
      </c>
      <c r="D10" s="2">
        <v>97.478279999999998</v>
      </c>
      <c r="E10" s="77">
        <f t="shared" si="0"/>
        <v>1.8212339405250074E-11</v>
      </c>
    </row>
    <row r="11" spans="2:12" x14ac:dyDescent="0.25">
      <c r="B11" s="10">
        <v>1996</v>
      </c>
      <c r="C11" s="69">
        <f>'Export 05'!B7</f>
        <v>149.02027200000001</v>
      </c>
      <c r="D11" s="2">
        <v>137.40472</v>
      </c>
      <c r="E11" s="77">
        <f t="shared" si="0"/>
        <v>1.084535320184052E-11</v>
      </c>
    </row>
    <row r="12" spans="2:12" x14ac:dyDescent="0.25">
      <c r="B12" s="10">
        <v>1997</v>
      </c>
      <c r="C12" s="69">
        <f>'Export 05'!B8</f>
        <v>183.25291200000001</v>
      </c>
      <c r="D12" s="2">
        <v>168.40043</v>
      </c>
      <c r="E12" s="77">
        <f t="shared" si="0"/>
        <v>1.0881974113724058E-11</v>
      </c>
    </row>
    <row r="13" spans="2:12" x14ac:dyDescent="0.25">
      <c r="B13" s="10">
        <v>1998</v>
      </c>
      <c r="C13" s="69">
        <f>'Export 05'!B9</f>
        <v>160.56084799999999</v>
      </c>
      <c r="D13" s="2">
        <v>184.64424</v>
      </c>
      <c r="E13" s="77">
        <f t="shared" si="0"/>
        <v>8.6956867974868858E-12</v>
      </c>
    </row>
    <row r="14" spans="2:12" x14ac:dyDescent="0.25">
      <c r="B14" s="10">
        <v>1999</v>
      </c>
      <c r="C14" s="69">
        <f>'Export 05'!B10</f>
        <v>233.62775999999999</v>
      </c>
      <c r="D14" s="2">
        <v>182.49723999999998</v>
      </c>
      <c r="E14" s="77">
        <f t="shared" si="0"/>
        <v>1.2801714699904506E-11</v>
      </c>
    </row>
    <row r="15" spans="2:12" x14ac:dyDescent="0.25">
      <c r="B15" s="10">
        <v>2000</v>
      </c>
      <c r="C15" s="69">
        <f>'Export 05'!B11</f>
        <v>205.67479800000001</v>
      </c>
      <c r="D15" s="2">
        <v>173.83799999999999</v>
      </c>
      <c r="E15" s="77">
        <f t="shared" si="0"/>
        <v>1.1831406136748008E-11</v>
      </c>
    </row>
    <row r="16" spans="2:12" x14ac:dyDescent="0.25">
      <c r="B16" s="10">
        <v>2001</v>
      </c>
      <c r="C16" s="69">
        <f>'Export 05'!B12</f>
        <v>180.33841799999999</v>
      </c>
      <c r="D16" s="2">
        <v>169.57254999999998</v>
      </c>
      <c r="E16" s="77">
        <f t="shared" si="0"/>
        <v>1.0634882709495139E-11</v>
      </c>
    </row>
    <row r="17" spans="2:5" x14ac:dyDescent="0.25">
      <c r="B17" s="10">
        <v>2002</v>
      </c>
      <c r="C17" s="69">
        <f>'Export 05'!B13</f>
        <v>188.665188</v>
      </c>
      <c r="D17" s="2">
        <v>193.08387999999999</v>
      </c>
      <c r="E17" s="77">
        <f t="shared" si="0"/>
        <v>9.7711516880642763E-12</v>
      </c>
    </row>
    <row r="18" spans="2:5" x14ac:dyDescent="0.25">
      <c r="B18" s="10">
        <v>2003</v>
      </c>
      <c r="C18" s="69">
        <f>'Export 05'!B14</f>
        <v>177.883725</v>
      </c>
      <c r="D18" s="2">
        <v>203.78914</v>
      </c>
      <c r="E18" s="77">
        <f t="shared" si="0"/>
        <v>8.7288127816820852E-12</v>
      </c>
    </row>
    <row r="19" spans="2:5" x14ac:dyDescent="0.25">
      <c r="B19" s="10">
        <v>2004</v>
      </c>
      <c r="C19" s="69">
        <f>'Export 05'!B15</f>
        <v>170.255897</v>
      </c>
      <c r="D19" s="2">
        <v>220.41551999999999</v>
      </c>
      <c r="E19" s="77">
        <f t="shared" si="0"/>
        <v>7.7243152841505894E-12</v>
      </c>
    </row>
    <row r="20" spans="2:5" x14ac:dyDescent="0.25">
      <c r="B20" s="10">
        <v>2005</v>
      </c>
      <c r="C20" s="69">
        <f>'Export 05'!B16</f>
        <v>209.21320399999999</v>
      </c>
      <c r="D20" s="2">
        <v>255.02369000000002</v>
      </c>
      <c r="E20" s="77">
        <f t="shared" si="0"/>
        <v>8.2036772348482593E-12</v>
      </c>
    </row>
    <row r="21" spans="2:5" x14ac:dyDescent="0.25">
      <c r="B21" s="10">
        <v>2006</v>
      </c>
      <c r="C21" s="69">
        <f>'Export 05'!B17</f>
        <v>205.68426400000001</v>
      </c>
      <c r="D21" s="2">
        <v>289.62955999999997</v>
      </c>
      <c r="E21" s="77">
        <f t="shared" si="0"/>
        <v>7.1016323057632666E-12</v>
      </c>
    </row>
    <row r="22" spans="2:5" x14ac:dyDescent="0.25">
      <c r="B22" s="10">
        <v>2007</v>
      </c>
      <c r="C22" s="69">
        <f>'Export 05'!B18</f>
        <v>179.43127200000001</v>
      </c>
      <c r="D22" s="2">
        <v>315.86653999999999</v>
      </c>
      <c r="E22" s="77">
        <f t="shared" si="0"/>
        <v>5.6806039664726756E-12</v>
      </c>
    </row>
    <row r="23" spans="2:5" x14ac:dyDescent="0.25">
      <c r="B23" s="10">
        <v>2008</v>
      </c>
      <c r="C23" s="69">
        <f>'Export 05'!B19</f>
        <v>208.32001099999999</v>
      </c>
      <c r="D23" s="2">
        <v>356.99453000000005</v>
      </c>
      <c r="E23" s="77">
        <f t="shared" si="0"/>
        <v>5.8353838362733444E-12</v>
      </c>
    </row>
    <row r="24" spans="2:5" x14ac:dyDescent="0.25">
      <c r="B24" s="10">
        <v>2009</v>
      </c>
      <c r="C24" s="69">
        <f>'Export 05'!B20</f>
        <v>292.94803100000001</v>
      </c>
      <c r="D24" s="2">
        <v>413.96373999999997</v>
      </c>
      <c r="E24" s="77">
        <f t="shared" si="0"/>
        <v>7.0766592020837393E-12</v>
      </c>
    </row>
    <row r="25" spans="2:5" x14ac:dyDescent="0.25">
      <c r="B25" s="10">
        <v>2010</v>
      </c>
      <c r="C25" s="69">
        <f>'Export 05'!B21</f>
        <v>265.840957</v>
      </c>
      <c r="D25" s="2">
        <v>476.72912000000002</v>
      </c>
      <c r="E25" s="77">
        <f t="shared" si="0"/>
        <v>5.5763523948358762E-12</v>
      </c>
    </row>
    <row r="26" spans="2:5" x14ac:dyDescent="0.25">
      <c r="B26" s="10">
        <v>2011</v>
      </c>
      <c r="C26" s="69">
        <f>'Export 05'!B22</f>
        <v>233.95684900000001</v>
      </c>
      <c r="D26" s="2">
        <v>449.90528999999998</v>
      </c>
      <c r="E26" s="77">
        <f t="shared" si="0"/>
        <v>5.2001355440830676E-12</v>
      </c>
    </row>
    <row r="27" spans="2:5" x14ac:dyDescent="0.25">
      <c r="B27" s="10">
        <v>2012</v>
      </c>
      <c r="C27" s="69">
        <f>'Export 05'!B23</f>
        <v>268.91415699999999</v>
      </c>
      <c r="D27" s="2">
        <v>494.70812999999998</v>
      </c>
      <c r="E27" s="77">
        <f t="shared" si="0"/>
        <v>5.435814386151285E-12</v>
      </c>
    </row>
    <row r="28" spans="2:5" x14ac:dyDescent="0.25">
      <c r="B28" s="10">
        <v>2013</v>
      </c>
      <c r="C28" s="69">
        <f>'Export 05'!B24</f>
        <v>242.415783</v>
      </c>
      <c r="D28" s="2">
        <v>585.44633999999996</v>
      </c>
      <c r="E28" s="77">
        <f t="shared" si="0"/>
        <v>4.1407002903118338E-12</v>
      </c>
    </row>
    <row r="29" spans="2:5" x14ac:dyDescent="0.25">
      <c r="B29" s="10">
        <v>2014</v>
      </c>
      <c r="C29" s="69">
        <f>'Export 05'!B25</f>
        <v>266.42256800000001</v>
      </c>
      <c r="D29" s="2">
        <v>607.30944999999997</v>
      </c>
      <c r="E29" s="77">
        <f t="shared" si="0"/>
        <v>4.3869326913981009E-12</v>
      </c>
    </row>
    <row r="30" spans="2:5" x14ac:dyDescent="0.25">
      <c r="B30" s="11">
        <v>2015</v>
      </c>
      <c r="C30" s="69">
        <f>'Export 05'!B26</f>
        <v>209.47781000000001</v>
      </c>
      <c r="D30" s="2">
        <v>645.33130000000006</v>
      </c>
      <c r="E30" s="77">
        <f t="shared" si="0"/>
        <v>3.2460506719571792E-12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</row>
    <row r="36" spans="2:12" ht="60" x14ac:dyDescent="0.25">
      <c r="B36" s="12" t="s">
        <v>3</v>
      </c>
      <c r="C36" s="13" t="s">
        <v>16</v>
      </c>
      <c r="D36" s="13" t="s">
        <v>14</v>
      </c>
      <c r="E36" s="14" t="s">
        <v>81</v>
      </c>
    </row>
    <row r="37" spans="2:12" x14ac:dyDescent="0.25">
      <c r="B37" s="10">
        <v>1991</v>
      </c>
      <c r="C37" s="69">
        <f>' Per Cápita 05'!B36</f>
        <v>11.072051</v>
      </c>
      <c r="D37" s="2">
        <v>30.88664</v>
      </c>
      <c r="E37" s="64">
        <f t="shared" ref="E37:E61" si="1">(C37/D37)/1000000000</f>
        <v>3.584737931999078E-10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69">
        <f>' Per Cápita 05'!B37</f>
        <v>14.555948000000001</v>
      </c>
      <c r="D38" s="2">
        <v>36.748779999999996</v>
      </c>
      <c r="E38" s="64">
        <f t="shared" si="1"/>
        <v>3.9609336690905119E-10</v>
      </c>
    </row>
    <row r="39" spans="2:12" x14ac:dyDescent="0.25">
      <c r="B39" s="10">
        <v>1993</v>
      </c>
      <c r="C39" s="69">
        <f>' Per Cápita 05'!B38</f>
        <v>8.8777670000000004</v>
      </c>
      <c r="D39" s="2">
        <v>54.163779999999996</v>
      </c>
      <c r="E39" s="64">
        <f t="shared" si="1"/>
        <v>1.639059718505614E-10</v>
      </c>
    </row>
    <row r="40" spans="2:12" x14ac:dyDescent="0.25">
      <c r="B40" s="10">
        <v>1994</v>
      </c>
      <c r="C40" s="69">
        <f>' Per Cápita 05'!B39</f>
        <v>30.067668000000001</v>
      </c>
      <c r="D40" s="2">
        <v>82.613830000000007</v>
      </c>
      <c r="E40" s="64">
        <f t="shared" si="1"/>
        <v>3.6395441295967029E-10</v>
      </c>
    </row>
    <row r="41" spans="2:12" x14ac:dyDescent="0.25">
      <c r="B41" s="10">
        <v>1995</v>
      </c>
      <c r="C41" s="69">
        <f>' Per Cápita 05'!B40</f>
        <v>30.092663999999999</v>
      </c>
      <c r="D41" s="2">
        <v>97.478279999999998</v>
      </c>
      <c r="E41" s="64">
        <f t="shared" si="1"/>
        <v>3.0871147911103891E-10</v>
      </c>
    </row>
    <row r="42" spans="2:12" x14ac:dyDescent="0.25">
      <c r="B42" s="10">
        <v>1996</v>
      </c>
      <c r="C42" s="69">
        <f>' Per Cápita 05'!B41</f>
        <v>26.35585</v>
      </c>
      <c r="D42" s="2">
        <v>137.40472</v>
      </c>
      <c r="E42" s="64">
        <f t="shared" si="1"/>
        <v>1.9181182422263225E-10</v>
      </c>
    </row>
    <row r="43" spans="2:12" x14ac:dyDescent="0.25">
      <c r="B43" s="10">
        <v>1997</v>
      </c>
      <c r="C43" s="69">
        <f>' Per Cápita 05'!B42</f>
        <v>33.721240000000002</v>
      </c>
      <c r="D43" s="2">
        <v>168.40043</v>
      </c>
      <c r="E43" s="64">
        <f t="shared" si="1"/>
        <v>2.002443817987876E-10</v>
      </c>
    </row>
    <row r="44" spans="2:12" x14ac:dyDescent="0.25">
      <c r="B44" s="10">
        <v>1998</v>
      </c>
      <c r="C44" s="69">
        <f>' Per Cápita 05'!B43</f>
        <v>28.083924</v>
      </c>
      <c r="D44" s="2">
        <v>184.64424</v>
      </c>
      <c r="E44" s="64">
        <f t="shared" si="1"/>
        <v>1.5209748216353782E-10</v>
      </c>
    </row>
    <row r="45" spans="2:12" x14ac:dyDescent="0.25">
      <c r="B45" s="10">
        <v>1999</v>
      </c>
      <c r="C45" s="69">
        <f>' Per Cápita 05'!B44</f>
        <v>23.445456</v>
      </c>
      <c r="D45" s="2">
        <v>182.49723999999998</v>
      </c>
      <c r="E45" s="64">
        <f t="shared" si="1"/>
        <v>1.2847019494650989E-10</v>
      </c>
    </row>
    <row r="46" spans="2:12" x14ac:dyDescent="0.25">
      <c r="B46" s="10">
        <v>2000</v>
      </c>
      <c r="C46" s="69">
        <f>' Per Cápita 05'!B45</f>
        <v>22.130406000000001</v>
      </c>
      <c r="D46" s="2">
        <v>173.83799999999999</v>
      </c>
      <c r="E46" s="64">
        <f t="shared" si="1"/>
        <v>1.2730476650674766E-10</v>
      </c>
    </row>
    <row r="47" spans="2:12" x14ac:dyDescent="0.25">
      <c r="B47" s="10">
        <v>2001</v>
      </c>
      <c r="C47" s="69">
        <f>' Per Cápita 05'!B46</f>
        <v>17.19295</v>
      </c>
      <c r="D47" s="2">
        <v>169.57254999999998</v>
      </c>
      <c r="E47" s="64">
        <f t="shared" si="1"/>
        <v>1.0138993604802193E-10</v>
      </c>
    </row>
    <row r="48" spans="2:12" x14ac:dyDescent="0.25">
      <c r="B48" s="10">
        <v>2002</v>
      </c>
      <c r="C48" s="69">
        <f>' Per Cápita 05'!B47</f>
        <v>16.889787999999999</v>
      </c>
      <c r="D48" s="2">
        <v>193.08387999999999</v>
      </c>
      <c r="E48" s="64">
        <f t="shared" si="1"/>
        <v>8.7473837795262874E-11</v>
      </c>
    </row>
    <row r="49" spans="2:6" x14ac:dyDescent="0.25">
      <c r="B49" s="10">
        <v>2003</v>
      </c>
      <c r="C49" s="69">
        <f>' Per Cápita 05'!B48</f>
        <v>14.306723</v>
      </c>
      <c r="D49" s="2">
        <v>203.78914</v>
      </c>
      <c r="E49" s="64">
        <f t="shared" si="1"/>
        <v>7.0203559424216624E-11</v>
      </c>
    </row>
    <row r="50" spans="2:6" x14ac:dyDescent="0.25">
      <c r="B50" s="10">
        <v>2004</v>
      </c>
      <c r="C50" s="69">
        <f>' Per Cápita 05'!B49</f>
        <v>16.921779000000001</v>
      </c>
      <c r="D50" s="2">
        <v>220.41551999999999</v>
      </c>
      <c r="E50" s="64">
        <f t="shared" si="1"/>
        <v>7.6772175570939839E-11</v>
      </c>
    </row>
    <row r="51" spans="2:6" x14ac:dyDescent="0.25">
      <c r="B51" s="10">
        <v>2005</v>
      </c>
      <c r="C51" s="69">
        <f>' Per Cápita 05'!B50</f>
        <v>22.815715000000001</v>
      </c>
      <c r="D51" s="2">
        <v>255.02369000000002</v>
      </c>
      <c r="E51" s="64">
        <f t="shared" si="1"/>
        <v>8.9465080675446277E-11</v>
      </c>
    </row>
    <row r="52" spans="2:6" x14ac:dyDescent="0.25">
      <c r="B52" s="10">
        <v>2006</v>
      </c>
      <c r="C52" s="69">
        <f>' Per Cápita 05'!B51</f>
        <v>25.711245000000002</v>
      </c>
      <c r="D52" s="2">
        <v>289.62955999999997</v>
      </c>
      <c r="E52" s="64">
        <f t="shared" si="1"/>
        <v>8.8772862134652291E-11</v>
      </c>
    </row>
    <row r="53" spans="2:6" x14ac:dyDescent="0.25">
      <c r="B53" s="10">
        <v>2007</v>
      </c>
      <c r="C53" s="69">
        <f>' Per Cápita 05'!B52</f>
        <v>37.885289</v>
      </c>
      <c r="D53" s="2">
        <v>315.86653999999999</v>
      </c>
      <c r="E53" s="64">
        <f t="shared" si="1"/>
        <v>1.1994081107799516E-10</v>
      </c>
    </row>
    <row r="54" spans="2:6" x14ac:dyDescent="0.25">
      <c r="B54" s="10">
        <v>2008</v>
      </c>
      <c r="C54" s="69">
        <f>' Per Cápita 05'!B53</f>
        <v>41.289866000000004</v>
      </c>
      <c r="D54" s="2">
        <v>356.99453000000005</v>
      </c>
      <c r="E54" s="64">
        <f t="shared" si="1"/>
        <v>1.1565966010739715E-10</v>
      </c>
    </row>
    <row r="55" spans="2:6" x14ac:dyDescent="0.25">
      <c r="B55" s="10">
        <v>2009</v>
      </c>
      <c r="C55" s="69">
        <f>' Per Cápita 05'!B54</f>
        <v>54.413074000000002</v>
      </c>
      <c r="D55" s="2">
        <v>413.96373999999997</v>
      </c>
      <c r="E55" s="64">
        <f t="shared" si="1"/>
        <v>1.3144405836124682E-10</v>
      </c>
    </row>
    <row r="56" spans="2:6" x14ac:dyDescent="0.25">
      <c r="B56" s="10">
        <v>2010</v>
      </c>
      <c r="C56" s="69">
        <f>' Per Cápita 05'!B55</f>
        <v>50.402794</v>
      </c>
      <c r="D56" s="2">
        <v>476.72912000000002</v>
      </c>
      <c r="E56" s="64">
        <f t="shared" si="1"/>
        <v>1.0572627491267997E-10</v>
      </c>
    </row>
    <row r="57" spans="2:6" x14ac:dyDescent="0.25">
      <c r="B57" s="10">
        <v>2011</v>
      </c>
      <c r="C57" s="69">
        <f>' Per Cápita 05'!B56</f>
        <v>73.516311000000002</v>
      </c>
      <c r="D57" s="2">
        <v>449.90528999999998</v>
      </c>
      <c r="E57" s="64">
        <f t="shared" si="1"/>
        <v>1.6340397108911522E-10</v>
      </c>
    </row>
    <row r="58" spans="2:6" x14ac:dyDescent="0.25">
      <c r="B58" s="10">
        <v>2012</v>
      </c>
      <c r="C58" s="69">
        <f>' Per Cápita 05'!B57</f>
        <v>92.507591000000005</v>
      </c>
      <c r="D58" s="2">
        <v>494.70812999999998</v>
      </c>
      <c r="E58" s="64">
        <f t="shared" si="1"/>
        <v>1.8699428085000344E-10</v>
      </c>
    </row>
    <row r="59" spans="2:6" x14ac:dyDescent="0.25">
      <c r="B59" s="10">
        <v>2013</v>
      </c>
      <c r="C59" s="69">
        <f>' Per Cápita 05'!B58</f>
        <v>115.993036</v>
      </c>
      <c r="D59" s="2">
        <v>585.44633999999996</v>
      </c>
      <c r="E59" s="64">
        <f t="shared" si="1"/>
        <v>1.9812752779358055E-10</v>
      </c>
    </row>
    <row r="60" spans="2:6" x14ac:dyDescent="0.25">
      <c r="B60" s="10">
        <v>2014</v>
      </c>
      <c r="C60" s="69">
        <f>' Per Cápita 05'!B59</f>
        <v>142.43887699999999</v>
      </c>
      <c r="D60" s="2">
        <v>607.30944999999997</v>
      </c>
      <c r="E60" s="64">
        <f t="shared" si="1"/>
        <v>2.3454085392545757E-10</v>
      </c>
    </row>
    <row r="61" spans="2:6" x14ac:dyDescent="0.25">
      <c r="B61" s="11">
        <v>2015</v>
      </c>
      <c r="C61" s="69">
        <f>' Per Cápita 05'!B60</f>
        <v>129.08264399999999</v>
      </c>
      <c r="D61" s="2">
        <v>645.33130000000006</v>
      </c>
      <c r="E61" s="64">
        <f t="shared" si="1"/>
        <v>2.0002538850974683E-10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90" x14ac:dyDescent="0.25">
      <c r="B67" s="12" t="s">
        <v>3</v>
      </c>
      <c r="C67" s="13" t="s">
        <v>83</v>
      </c>
      <c r="D67" s="13" t="s">
        <v>87</v>
      </c>
      <c r="E67" s="14" t="s">
        <v>82</v>
      </c>
    </row>
    <row r="68" spans="2:12" x14ac:dyDescent="0.25">
      <c r="B68" s="10">
        <v>1991</v>
      </c>
      <c r="C68" s="111">
        <f>' Per Cápita 05'!B65</f>
        <v>186.107427</v>
      </c>
      <c r="D68" s="2">
        <f t="shared" ref="D68:D92" si="2">D37*2</f>
        <v>61.77328</v>
      </c>
      <c r="E68" s="79">
        <f t="shared" ref="E68:E92" si="3">(C68/D68)/100000000</f>
        <v>3.01274963867873E-8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111">
        <f>' Per Cápita 05'!B66</f>
        <v>173.103004</v>
      </c>
      <c r="D69" s="2">
        <f t="shared" si="2"/>
        <v>73.497559999999993</v>
      </c>
      <c r="E69" s="79">
        <f t="shared" si="3"/>
        <v>2.3552210984963315E-8</v>
      </c>
    </row>
    <row r="70" spans="2:12" x14ac:dyDescent="0.25">
      <c r="B70" s="10">
        <v>1993</v>
      </c>
      <c r="C70" s="111">
        <f>' Per Cápita 05'!B67</f>
        <v>218.984487</v>
      </c>
      <c r="D70" s="2">
        <f t="shared" si="2"/>
        <v>108.32755999999999</v>
      </c>
      <c r="E70" s="79">
        <f t="shared" si="3"/>
        <v>2.0215029951750044E-8</v>
      </c>
    </row>
    <row r="71" spans="2:12" x14ac:dyDescent="0.25">
      <c r="B71" s="10">
        <v>1994</v>
      </c>
      <c r="C71" s="111">
        <f>' Per Cápita 05'!B68</f>
        <v>273.70874000000003</v>
      </c>
      <c r="D71" s="2">
        <f t="shared" si="2"/>
        <v>165.22766000000001</v>
      </c>
      <c r="E71" s="79">
        <f t="shared" si="3"/>
        <v>1.656555203892617E-8</v>
      </c>
    </row>
    <row r="72" spans="2:12" x14ac:dyDescent="0.25">
      <c r="B72" s="10">
        <v>1995</v>
      </c>
      <c r="C72" s="111">
        <f>' Per Cápita 05'!B69</f>
        <v>207.62341600000002</v>
      </c>
      <c r="D72" s="2">
        <f t="shared" si="2"/>
        <v>194.95656</v>
      </c>
      <c r="E72" s="79">
        <f t="shared" si="3"/>
        <v>1.0649727098180233E-8</v>
      </c>
    </row>
    <row r="73" spans="2:12" x14ac:dyDescent="0.25">
      <c r="B73" s="10">
        <v>1996</v>
      </c>
      <c r="C73" s="111">
        <f>' Per Cápita 05'!B70</f>
        <v>175.37612200000001</v>
      </c>
      <c r="D73" s="2">
        <f t="shared" si="2"/>
        <v>274.80944</v>
      </c>
      <c r="E73" s="79">
        <f t="shared" si="3"/>
        <v>6.3817357220334212E-9</v>
      </c>
    </row>
    <row r="74" spans="2:12" x14ac:dyDescent="0.25">
      <c r="B74" s="10">
        <v>1997</v>
      </c>
      <c r="C74" s="111">
        <f>' Per Cápita 05'!B71</f>
        <v>216.974152</v>
      </c>
      <c r="D74" s="2">
        <f t="shared" si="2"/>
        <v>336.80086</v>
      </c>
      <c r="E74" s="79">
        <f t="shared" si="3"/>
        <v>6.4422089658559666E-9</v>
      </c>
    </row>
    <row r="75" spans="2:12" x14ac:dyDescent="0.25">
      <c r="B75" s="10">
        <v>1998</v>
      </c>
      <c r="C75" s="111">
        <f>' Per Cápita 05'!B72</f>
        <v>188.64477199999999</v>
      </c>
      <c r="D75" s="2">
        <f t="shared" si="2"/>
        <v>369.28847999999999</v>
      </c>
      <c r="E75" s="79">
        <f t="shared" si="3"/>
        <v>5.1083308095611323E-9</v>
      </c>
    </row>
    <row r="76" spans="2:12" x14ac:dyDescent="0.25">
      <c r="B76" s="10">
        <v>1999</v>
      </c>
      <c r="C76" s="111">
        <f>' Per Cápita 05'!B73</f>
        <v>257.073216</v>
      </c>
      <c r="D76" s="2">
        <f t="shared" si="2"/>
        <v>364.99447999999995</v>
      </c>
      <c r="E76" s="79">
        <f t="shared" si="3"/>
        <v>7.0432083246848024E-9</v>
      </c>
    </row>
    <row r="77" spans="2:12" x14ac:dyDescent="0.25">
      <c r="B77" s="10">
        <v>2000</v>
      </c>
      <c r="C77" s="111">
        <f>' Per Cápita 05'!B74</f>
        <v>227.805204</v>
      </c>
      <c r="D77" s="2">
        <f t="shared" si="2"/>
        <v>347.67599999999999</v>
      </c>
      <c r="E77" s="79">
        <f t="shared" si="3"/>
        <v>6.5522269009077415E-9</v>
      </c>
    </row>
    <row r="78" spans="2:12" x14ac:dyDescent="0.25">
      <c r="B78" s="10">
        <v>2001</v>
      </c>
      <c r="C78" s="111">
        <f>' Per Cápita 05'!B75</f>
        <v>197.53136799999999</v>
      </c>
      <c r="D78" s="2">
        <f t="shared" si="2"/>
        <v>339.14509999999996</v>
      </c>
      <c r="E78" s="79">
        <f t="shared" si="3"/>
        <v>5.8243910349876797E-9</v>
      </c>
    </row>
    <row r="79" spans="2:12" x14ac:dyDescent="0.25">
      <c r="B79" s="10">
        <v>2002</v>
      </c>
      <c r="C79" s="111">
        <f>' Per Cápita 05'!B76</f>
        <v>205.55497600000001</v>
      </c>
      <c r="D79" s="2">
        <f t="shared" si="2"/>
        <v>386.16775999999999</v>
      </c>
      <c r="E79" s="79">
        <f t="shared" si="3"/>
        <v>5.3229450330084527E-9</v>
      </c>
    </row>
    <row r="80" spans="2:12" x14ac:dyDescent="0.25">
      <c r="B80" s="10">
        <v>2003</v>
      </c>
      <c r="C80" s="111">
        <f>' Per Cápita 05'!B77</f>
        <v>192.190448</v>
      </c>
      <c r="D80" s="2">
        <f t="shared" si="2"/>
        <v>407.57828000000001</v>
      </c>
      <c r="E80" s="79">
        <f t="shared" si="3"/>
        <v>4.7154241879621265E-9</v>
      </c>
    </row>
    <row r="81" spans="2:5" x14ac:dyDescent="0.25">
      <c r="B81" s="10">
        <v>2004</v>
      </c>
      <c r="C81" s="111">
        <f>' Per Cápita 05'!B78</f>
        <v>187.17767600000002</v>
      </c>
      <c r="D81" s="2">
        <f t="shared" si="2"/>
        <v>440.83103999999997</v>
      </c>
      <c r="E81" s="79">
        <f t="shared" si="3"/>
        <v>4.2460185199299951E-9</v>
      </c>
    </row>
    <row r="82" spans="2:5" x14ac:dyDescent="0.25">
      <c r="B82" s="10">
        <v>2005</v>
      </c>
      <c r="C82" s="111">
        <f>' Per Cápita 05'!B79</f>
        <v>232.028919</v>
      </c>
      <c r="D82" s="2">
        <f t="shared" si="2"/>
        <v>510.04738000000003</v>
      </c>
      <c r="E82" s="79">
        <f t="shared" si="3"/>
        <v>4.5491640208013616E-9</v>
      </c>
    </row>
    <row r="83" spans="2:5" x14ac:dyDescent="0.25">
      <c r="B83" s="10">
        <v>2006</v>
      </c>
      <c r="C83" s="111">
        <f>' Per Cápita 05'!B80</f>
        <v>231.395509</v>
      </c>
      <c r="D83" s="2">
        <f t="shared" si="2"/>
        <v>579.25911999999994</v>
      </c>
      <c r="E83" s="79">
        <f t="shared" si="3"/>
        <v>3.994680463554894E-9</v>
      </c>
    </row>
    <row r="84" spans="2:5" x14ac:dyDescent="0.25">
      <c r="B84" s="10">
        <v>2007</v>
      </c>
      <c r="C84" s="111">
        <f>' Per Cápita 05'!B81</f>
        <v>217.31656100000001</v>
      </c>
      <c r="D84" s="2">
        <f t="shared" si="2"/>
        <v>631.73307999999997</v>
      </c>
      <c r="E84" s="79">
        <f t="shared" si="3"/>
        <v>3.4400060386263137E-9</v>
      </c>
    </row>
    <row r="85" spans="2:5" x14ac:dyDescent="0.25">
      <c r="B85" s="10">
        <v>2008</v>
      </c>
      <c r="C85" s="111">
        <f>' Per Cápita 05'!B82</f>
        <v>249.60987699999998</v>
      </c>
      <c r="D85" s="2">
        <f t="shared" si="2"/>
        <v>713.98906000000011</v>
      </c>
      <c r="E85" s="79">
        <f t="shared" si="3"/>
        <v>3.4959902186736579E-9</v>
      </c>
    </row>
    <row r="86" spans="2:5" x14ac:dyDescent="0.25">
      <c r="B86" s="10">
        <v>2009</v>
      </c>
      <c r="C86" s="111">
        <f>' Per Cápita 05'!B83</f>
        <v>347.36110500000001</v>
      </c>
      <c r="D86" s="2">
        <f t="shared" si="2"/>
        <v>827.92747999999995</v>
      </c>
      <c r="E86" s="79">
        <f t="shared" si="3"/>
        <v>4.1955498928481034E-9</v>
      </c>
    </row>
    <row r="87" spans="2:5" x14ac:dyDescent="0.25">
      <c r="B87" s="10">
        <v>2010</v>
      </c>
      <c r="C87" s="111">
        <f>' Per Cápita 05'!B84</f>
        <v>316.24375099999997</v>
      </c>
      <c r="D87" s="2">
        <f t="shared" si="2"/>
        <v>953.45824000000005</v>
      </c>
      <c r="E87" s="79">
        <f t="shared" si="3"/>
        <v>3.3168075719813378E-9</v>
      </c>
    </row>
    <row r="88" spans="2:5" x14ac:dyDescent="0.25">
      <c r="B88" s="10">
        <v>2011</v>
      </c>
      <c r="C88" s="111">
        <f>' Per Cápita 05'!B85</f>
        <v>307.47316000000001</v>
      </c>
      <c r="D88" s="2">
        <f t="shared" si="2"/>
        <v>899.81057999999996</v>
      </c>
      <c r="E88" s="79">
        <f t="shared" si="3"/>
        <v>3.4170876274871099E-9</v>
      </c>
    </row>
    <row r="89" spans="2:5" x14ac:dyDescent="0.25">
      <c r="B89" s="10">
        <v>2012</v>
      </c>
      <c r="C89" s="111">
        <f>' Per Cápita 05'!B86</f>
        <v>361.42174799999998</v>
      </c>
      <c r="D89" s="2">
        <f t="shared" si="2"/>
        <v>989.41625999999997</v>
      </c>
      <c r="E89" s="79">
        <f t="shared" si="3"/>
        <v>3.6528785973256596E-9</v>
      </c>
    </row>
    <row r="90" spans="2:5" x14ac:dyDescent="0.25">
      <c r="B90" s="10">
        <v>2013</v>
      </c>
      <c r="C90" s="111">
        <f>' Per Cápita 05'!B87</f>
        <v>358.40881899999999</v>
      </c>
      <c r="D90" s="2">
        <f t="shared" si="2"/>
        <v>1170.8926799999999</v>
      </c>
      <c r="E90" s="79">
        <f t="shared" si="3"/>
        <v>3.060987784123819E-9</v>
      </c>
    </row>
    <row r="91" spans="2:5" x14ac:dyDescent="0.25">
      <c r="B91" s="10">
        <v>2014</v>
      </c>
      <c r="C91" s="111">
        <f>' Per Cápita 05'!B88</f>
        <v>408.861445</v>
      </c>
      <c r="D91" s="2">
        <f t="shared" si="2"/>
        <v>1214.6188999999999</v>
      </c>
      <c r="E91" s="79">
        <f t="shared" si="3"/>
        <v>3.3661706153263382E-9</v>
      </c>
    </row>
    <row r="92" spans="2:5" x14ac:dyDescent="0.25">
      <c r="B92" s="11">
        <v>2015</v>
      </c>
      <c r="C92" s="111">
        <f>' Per Cápita 05'!B89</f>
        <v>338.56045399999999</v>
      </c>
      <c r="D92" s="2">
        <f t="shared" si="2"/>
        <v>1290.6626000000001</v>
      </c>
      <c r="E92" s="79">
        <f t="shared" si="3"/>
        <v>2.6231522785273238E-9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A33" zoomScale="80" zoomScaleNormal="80" workbookViewId="0">
      <selection activeCell="F34" sqref="F34:F58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19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74">
        <f>'Balanza c 05'!B2</f>
        <v>163.96332500000003</v>
      </c>
      <c r="C5" s="27">
        <v>881.41649700000005</v>
      </c>
      <c r="D5" s="2">
        <v>1806.394</v>
      </c>
      <c r="E5" s="5">
        <v>218.072048</v>
      </c>
      <c r="F5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0.14912690609250503</v>
      </c>
      <c r="G5" s="7" t="s">
        <v>96</v>
      </c>
      <c r="L5" s="49" t="s">
        <v>97</v>
      </c>
    </row>
    <row r="6" spans="1:17" x14ac:dyDescent="0.25">
      <c r="A6" s="10">
        <v>1992</v>
      </c>
      <c r="B6" s="74">
        <f>'Balanza c 05'!B3</f>
        <v>143.991108</v>
      </c>
      <c r="C6" s="27">
        <v>983.24995899999999</v>
      </c>
      <c r="D6" s="2">
        <v>3152.6379999999999</v>
      </c>
      <c r="E6" s="5">
        <v>433.62799100000001</v>
      </c>
      <c r="F6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0.10162562555229263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74">
        <f>'Balanza c 05'!B4</f>
        <v>201.22895299999999</v>
      </c>
      <c r="C7" s="27">
        <v>959.41936999999996</v>
      </c>
      <c r="D7" s="2">
        <v>3215.2869999999998</v>
      </c>
      <c r="E7" s="5">
        <v>473.60294699999997</v>
      </c>
      <c r="F7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0.14042276286476005</v>
      </c>
      <c r="G7" s="1"/>
      <c r="M7" s="49"/>
      <c r="N7" s="49"/>
      <c r="O7" s="49"/>
    </row>
    <row r="8" spans="1:17" x14ac:dyDescent="0.25">
      <c r="A8" s="10">
        <v>1994</v>
      </c>
      <c r="B8" s="74">
        <f>'Balanza c 05'!B5</f>
        <v>213.57340400000001</v>
      </c>
      <c r="C8" s="27">
        <v>1017.331577</v>
      </c>
      <c r="D8" s="2">
        <v>4474.9809999999998</v>
      </c>
      <c r="E8" s="5">
        <v>632.10264900000004</v>
      </c>
      <c r="F8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0.12948282546429954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74">
        <f>'Balanza c 05'!B6</f>
        <v>147.43808799999999</v>
      </c>
      <c r="C9" s="27">
        <v>1038.4779860000001</v>
      </c>
      <c r="D9" s="2">
        <v>3992.277</v>
      </c>
      <c r="E9" s="5">
        <v>792.92823299999998</v>
      </c>
      <c r="F9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8.0505398786133525E-2</v>
      </c>
      <c r="G9" s="1"/>
    </row>
    <row r="10" spans="1:17" x14ac:dyDescent="0.25">
      <c r="A10" s="10">
        <v>1996</v>
      </c>
      <c r="B10" s="74">
        <f>'Balanza c 05'!B7</f>
        <v>122.664422</v>
      </c>
      <c r="C10" s="27">
        <v>1068.2126330000001</v>
      </c>
      <c r="D10" s="2">
        <v>5379.8019999999997</v>
      </c>
      <c r="E10" s="5">
        <v>1032.147324</v>
      </c>
      <c r="F10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5.8401619013535591E-2</v>
      </c>
      <c r="G10" s="1"/>
      <c r="H10" s="114"/>
    </row>
    <row r="11" spans="1:17" x14ac:dyDescent="0.25">
      <c r="A11" s="10">
        <v>1997</v>
      </c>
      <c r="B11" s="74">
        <f>'Balanza c 05'!B8</f>
        <v>149.53167200000001</v>
      </c>
      <c r="C11" s="27">
        <v>1133.477727</v>
      </c>
      <c r="D11" s="2">
        <v>3821.105</v>
      </c>
      <c r="E11" s="5">
        <v>969.76201700000001</v>
      </c>
      <c r="F11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7.1095875982077297E-2</v>
      </c>
      <c r="G11" s="1"/>
    </row>
    <row r="12" spans="1:17" x14ac:dyDescent="0.25">
      <c r="A12" s="10">
        <v>1998</v>
      </c>
      <c r="B12" s="74">
        <f>'Balanza c 05'!B9</f>
        <v>132.476924</v>
      </c>
      <c r="C12" s="27">
        <v>1185.2250309999999</v>
      </c>
      <c r="D12" s="2">
        <v>3538.69</v>
      </c>
      <c r="E12" s="5">
        <v>942.82702099999995</v>
      </c>
      <c r="F12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6.2252670875928368E-2</v>
      </c>
      <c r="G12" s="1"/>
    </row>
    <row r="13" spans="1:17" x14ac:dyDescent="0.25">
      <c r="A13" s="10">
        <v>1999</v>
      </c>
      <c r="B13" s="74">
        <f>'Balanza c 05'!B10</f>
        <v>210.18230399999999</v>
      </c>
      <c r="C13" s="27">
        <v>1221.7329010000001</v>
      </c>
      <c r="D13" s="2">
        <v>3328.6469999999999</v>
      </c>
      <c r="E13" s="5">
        <v>718.368246</v>
      </c>
      <c r="F13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0.10833574544554402</v>
      </c>
      <c r="G13" s="1"/>
    </row>
    <row r="14" spans="1:17" x14ac:dyDescent="0.25">
      <c r="A14" s="10">
        <v>2000</v>
      </c>
      <c r="B14" s="74">
        <f>'Balanza c 05'!B11</f>
        <v>183.54439200000002</v>
      </c>
      <c r="C14" s="27">
        <v>1182.814787</v>
      </c>
      <c r="D14" s="2">
        <v>2423.2669999999998</v>
      </c>
      <c r="E14" s="5">
        <v>800.71074399999998</v>
      </c>
      <c r="F14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9.253442374773245E-2</v>
      </c>
      <c r="G14" s="1"/>
    </row>
    <row r="15" spans="1:17" x14ac:dyDescent="0.25">
      <c r="A15" s="10">
        <v>2001</v>
      </c>
      <c r="B15" s="74">
        <f>'Balanza c 05'!B12</f>
        <v>163.14546799999999</v>
      </c>
      <c r="C15" s="27">
        <v>1144.9792580000001</v>
      </c>
      <c r="D15" s="2">
        <v>3458.69</v>
      </c>
      <c r="E15" s="5">
        <v>806.63776399999995</v>
      </c>
      <c r="F15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8.3595022056535434E-2</v>
      </c>
      <c r="G15" s="1"/>
    </row>
    <row r="16" spans="1:17" x14ac:dyDescent="0.25">
      <c r="A16" s="10">
        <v>2002</v>
      </c>
      <c r="B16" s="74">
        <f>'Balanza c 05'!B13</f>
        <v>171.77539999999999</v>
      </c>
      <c r="C16" s="27">
        <v>1201.0997769999999</v>
      </c>
      <c r="D16" s="2">
        <v>3495.8850000000002</v>
      </c>
      <c r="E16" s="5">
        <v>914.29077400000006</v>
      </c>
      <c r="F16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8.1202688514798033E-2</v>
      </c>
      <c r="G16" s="1"/>
    </row>
    <row r="17" spans="1:7" x14ac:dyDescent="0.25">
      <c r="A17" s="10">
        <v>2003</v>
      </c>
      <c r="B17" s="74">
        <f>'Balanza c 05'!B14</f>
        <v>163.57700199999999</v>
      </c>
      <c r="C17" s="27">
        <v>1198.522637</v>
      </c>
      <c r="D17" s="2">
        <v>4221.4390000000003</v>
      </c>
      <c r="E17" s="5">
        <v>964.07554868999978</v>
      </c>
      <c r="F17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7.5639109975397037E-2</v>
      </c>
      <c r="G17" s="1"/>
    </row>
    <row r="18" spans="1:7" x14ac:dyDescent="0.25">
      <c r="A18" s="10">
        <v>2004</v>
      </c>
      <c r="B18" s="74">
        <f>'Balanza c 05'!B15</f>
        <v>153.33411799999999</v>
      </c>
      <c r="C18" s="27">
        <v>1414.1092617499999</v>
      </c>
      <c r="D18" s="2">
        <v>2268.058</v>
      </c>
      <c r="E18" s="5">
        <v>1096.5766716700007</v>
      </c>
      <c r="F18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6.1072600104598369E-2</v>
      </c>
      <c r="G18" s="1"/>
    </row>
    <row r="19" spans="1:7" x14ac:dyDescent="0.25">
      <c r="A19" s="10">
        <v>2005</v>
      </c>
      <c r="B19" s="74">
        <f>'Balanza c 05'!B16</f>
        <v>186.39748899999998</v>
      </c>
      <c r="C19" s="27">
        <v>1724.6291241099998</v>
      </c>
      <c r="D19" s="2">
        <v>3775.5949999999998</v>
      </c>
      <c r="E19" s="5">
        <v>1034.5303382900004</v>
      </c>
      <c r="F19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6.7555895750173803E-2</v>
      </c>
      <c r="G19" s="1"/>
    </row>
    <row r="20" spans="1:7" x14ac:dyDescent="0.25">
      <c r="A20" s="10">
        <v>2006</v>
      </c>
      <c r="B20" s="74">
        <f>'Balanza c 05'!B17</f>
        <v>179.97301900000002</v>
      </c>
      <c r="C20" s="27">
        <v>1872.3784980099981</v>
      </c>
      <c r="D20" s="2">
        <v>3769.5279999999998</v>
      </c>
      <c r="E20" s="5">
        <v>1257.3132665799999</v>
      </c>
      <c r="F20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5.750503005959029E-2</v>
      </c>
      <c r="G20" s="1"/>
    </row>
    <row r="21" spans="1:7" x14ac:dyDescent="0.25">
      <c r="A21" s="10">
        <v>2007</v>
      </c>
      <c r="B21" s="74">
        <f>'Balanza c 05'!B18</f>
        <v>141.54598300000001</v>
      </c>
      <c r="C21" s="26">
        <v>2122.5042788000019</v>
      </c>
      <c r="D21" s="2">
        <v>4219.6670000000004</v>
      </c>
      <c r="E21" s="5">
        <v>1695.4131790200004</v>
      </c>
      <c r="F21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3.70741338868079E-2</v>
      </c>
      <c r="G21" s="1"/>
    </row>
    <row r="22" spans="1:7" x14ac:dyDescent="0.25">
      <c r="A22" s="10">
        <v>2008</v>
      </c>
      <c r="B22" s="74">
        <f>'Balanza c 05'!B19</f>
        <v>167.030145</v>
      </c>
      <c r="C22" s="26">
        <v>2146.3400352200028</v>
      </c>
      <c r="D22" s="2">
        <v>4908.3850000000002</v>
      </c>
      <c r="E22" s="5">
        <v>2236.8973823599977</v>
      </c>
      <c r="F22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3.8106570346859714E-2</v>
      </c>
      <c r="G22" s="1"/>
    </row>
    <row r="23" spans="1:7" x14ac:dyDescent="0.25">
      <c r="A23" s="10">
        <v>2009</v>
      </c>
      <c r="B23" s="74">
        <f>'Balanza c 05'!B20</f>
        <v>238.53495700000002</v>
      </c>
      <c r="C23" s="26">
        <v>2095.9589286500013</v>
      </c>
      <c r="D23" s="2">
        <v>4795.9279999999999</v>
      </c>
      <c r="E23" s="5">
        <v>1750.4526144300014</v>
      </c>
      <c r="F23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6.2014933744971509E-2</v>
      </c>
      <c r="G23" s="1"/>
    </row>
    <row r="24" spans="1:7" x14ac:dyDescent="0.25">
      <c r="A24" s="10">
        <v>2010</v>
      </c>
      <c r="B24" s="74">
        <f>'Balanza c 05'!B21</f>
        <v>215.438163</v>
      </c>
      <c r="C24" s="26">
        <v>2166.04730251</v>
      </c>
      <c r="D24" s="2">
        <v>912.50599999999997</v>
      </c>
      <c r="E24" s="5">
        <v>2018.9772672800029</v>
      </c>
      <c r="F24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5.1478350821441012E-2</v>
      </c>
      <c r="G24" s="1"/>
    </row>
    <row r="25" spans="1:7" x14ac:dyDescent="0.25">
      <c r="A25" s="10">
        <v>2011</v>
      </c>
      <c r="B25" s="74">
        <f>'Balanza c 05'!B22</f>
        <v>160.440538</v>
      </c>
      <c r="C25" s="26">
        <v>2284.3647235700028</v>
      </c>
      <c r="D25" s="2">
        <v>1611.5440000000001</v>
      </c>
      <c r="E25" s="5">
        <v>2563.9037290099977</v>
      </c>
      <c r="F25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3.3092337928321967E-2</v>
      </c>
      <c r="G25" s="1"/>
    </row>
    <row r="26" spans="1:7" x14ac:dyDescent="0.25">
      <c r="A26" s="10">
        <v>2012</v>
      </c>
      <c r="B26" s="74">
        <f>'Balanza c 05'!B23</f>
        <v>176.406566</v>
      </c>
      <c r="C26" s="26">
        <v>2636.1765412600002</v>
      </c>
      <c r="D26" s="2">
        <v>1734.827</v>
      </c>
      <c r="E26" s="5">
        <v>2705.0876101299973</v>
      </c>
      <c r="F26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3.3027118861757167E-2</v>
      </c>
      <c r="G26" s="1"/>
    </row>
    <row r="27" spans="1:7" x14ac:dyDescent="0.25">
      <c r="A27" s="10">
        <v>2013</v>
      </c>
      <c r="B27" s="74">
        <f>'Balanza c 05'!B24</f>
        <v>126.422747</v>
      </c>
      <c r="C27" s="26">
        <v>2651.0931387399996</v>
      </c>
      <c r="D27" s="2">
        <v>1652.723</v>
      </c>
      <c r="E27" s="5">
        <v>2581.5323848800022</v>
      </c>
      <c r="F27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2.4160480513908251E-2</v>
      </c>
      <c r="G27" s="1"/>
    </row>
    <row r="28" spans="1:7" x14ac:dyDescent="0.25">
      <c r="A28" s="10">
        <v>2014</v>
      </c>
      <c r="B28" s="74">
        <f>'Balanza c 05'!B25</f>
        <v>123.98369100000002</v>
      </c>
      <c r="C28" s="26">
        <v>2568.3085408999968</v>
      </c>
      <c r="D28" s="2">
        <v>1246.8779999999999</v>
      </c>
      <c r="E28" s="5">
        <v>2532.8550979199972</v>
      </c>
      <c r="F28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2.4304982113586938E-2</v>
      </c>
      <c r="G28" s="1"/>
    </row>
    <row r="29" spans="1:7" x14ac:dyDescent="0.25">
      <c r="A29" s="11">
        <v>2015</v>
      </c>
      <c r="B29" s="74">
        <f>'Balanza c 05'!B26</f>
        <v>80.395166000000017</v>
      </c>
      <c r="C29" s="3">
        <v>2443.4283642899991</v>
      </c>
      <c r="D29" s="2">
        <v>520.46799999999996</v>
      </c>
      <c r="E29" s="5">
        <v>2376.0279714999997</v>
      </c>
      <c r="F29" s="113">
        <f>(Tabla191011133145101[[#This Row],[Total Balanza Comercial de Colombia (US$ millones)]])/(Tabla191011133145101[[#This Row],[Total exportaciones de Colombia hacia el mundo
  (US$ millones FOB)]]+Tabla191011133145101[[#This Row],[Total Importaciones Colombia (US$millones CIF)]])</f>
        <v>1.6681376570003046E-2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20</v>
      </c>
      <c r="C33" s="29" t="s">
        <v>121</v>
      </c>
      <c r="D33" s="29" t="s">
        <v>159</v>
      </c>
      <c r="E33" s="29" t="s">
        <v>160</v>
      </c>
      <c r="F33" s="29" t="s">
        <v>23</v>
      </c>
      <c r="G33" s="28" t="s">
        <v>24</v>
      </c>
    </row>
    <row r="34" spans="1:17" x14ac:dyDescent="0.25">
      <c r="A34" s="31">
        <v>1991</v>
      </c>
      <c r="B34" s="73">
        <f>'Participación Mundial 05'!C6</f>
        <v>175.03537600000001</v>
      </c>
      <c r="C34" s="26">
        <v>2823.8</v>
      </c>
      <c r="D34" s="27">
        <v>508.87711999999999</v>
      </c>
      <c r="E34" s="27">
        <v>7.2686346239999997</v>
      </c>
      <c r="F34" s="127">
        <f>((Tabla19101113143246102[[#This Row],[Total exportaciones del grupo
 a USA (US$ millones)]]*1000)/(Tabla19101113143246102[[#This Row],[Total exportaciones
 a USA (US$ miles)]])/((D34/1000)/E34))</f>
        <v>885.3842901045316</v>
      </c>
      <c r="G34" s="98" t="str">
        <f>IF(Tabla19101113143246102[[#This Row],[Indice de Balassa]]&gt;0.33,"VENTAJA","NO VENTAJA")</f>
        <v>VENTAJA</v>
      </c>
    </row>
    <row r="35" spans="1:17" x14ac:dyDescent="0.25">
      <c r="A35" s="31">
        <v>1992</v>
      </c>
      <c r="B35" s="73">
        <f>'Participación Mundial 05'!C7</f>
        <v>158.547056</v>
      </c>
      <c r="C35" s="26">
        <v>2722.5</v>
      </c>
      <c r="D35" s="27">
        <v>493.28092800000002</v>
      </c>
      <c r="E35" s="27">
        <v>6.9160427520000001</v>
      </c>
      <c r="F35" s="127">
        <f>((Tabla19101113143246102[[#This Row],[Total exportaciones del grupo
 a USA (US$ millones)]]*1000)/(Tabla19101113143246102[[#This Row],[Total exportaciones
 a USA (US$ miles)]])/((D35/1000)/E35))</f>
        <v>816.49520493238697</v>
      </c>
      <c r="G35" s="98" t="str">
        <f>IF(Tabla19101113143246102[[#This Row],[Indice de Balassa]]&gt;0.33,"VENTAJA","NO VENTAJA")</f>
        <v>VENTAJA</v>
      </c>
    </row>
    <row r="36" spans="1:17" x14ac:dyDescent="0.25">
      <c r="A36" s="31">
        <v>1993</v>
      </c>
      <c r="B36" s="73">
        <f>'Participación Mundial 05'!C8</f>
        <v>210.10672</v>
      </c>
      <c r="C36" s="26">
        <v>2850.21</v>
      </c>
      <c r="D36" s="27">
        <v>480.92665599999998</v>
      </c>
      <c r="E36" s="27">
        <v>7.1234385920000003</v>
      </c>
      <c r="F36" s="127">
        <f>((Tabla19101113143246102[[#This Row],[Total exportaciones del grupo
 a USA (US$ millones)]]*1000)/(Tabla19101113143246102[[#This Row],[Total exportaciones
 a USA (US$ miles)]])/((D36/1000)/E36))</f>
        <v>1091.8775063273754</v>
      </c>
      <c r="G36" s="98" t="str">
        <f>IF(Tabla19101113143246102[[#This Row],[Indice de Balassa]]&gt;0.33,"VENTAJA","NO VENTAJA")</f>
        <v>VENTAJA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f>'Participación Mundial 05'!C9</f>
        <v>243.64107200000001</v>
      </c>
      <c r="C37" s="26">
        <v>3164.92</v>
      </c>
      <c r="D37" s="27">
        <v>542.39135999999996</v>
      </c>
      <c r="E37" s="27">
        <v>8.5375165440000007</v>
      </c>
      <c r="F37" s="127">
        <f>((Tabla19101113143246102[[#This Row],[Total exportaciones del grupo
 a USA (US$ millones)]]*1000)/(Tabla19101113143246102[[#This Row],[Total exportaciones
 a USA (US$ miles)]])/((D37/1000)/E37))</f>
        <v>1211.7319532232618</v>
      </c>
      <c r="G37" s="98" t="str">
        <f>IF(Tabla19101113143246102[[#This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>
        <f>'Participación Mundial 05'!C10</f>
        <v>177.53075200000001</v>
      </c>
      <c r="C38" s="26">
        <v>3627.72</v>
      </c>
      <c r="D38" s="27">
        <v>496.37964799999997</v>
      </c>
      <c r="E38" s="27">
        <v>10.201048064</v>
      </c>
      <c r="F38" s="127">
        <f>((Tabla19101113143246102[[#This Row],[Total exportaciones del grupo
 a USA (US$ millones)]]*1000)/(Tabla19101113143246102[[#This Row],[Total exportaciones
 a USA (US$ miles)]])/((D38/1000)/E38))</f>
        <v>1005.7051184903834</v>
      </c>
      <c r="G38" s="98" t="str">
        <f>IF(Tabla19101113143246102[[#This Row],[Indice de Balassa]]&gt;0.33,"VENTAJA","NO VENTAJA")</f>
        <v>VENTAJA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f>'Participación Mundial 05'!C11</f>
        <v>149.02027200000001</v>
      </c>
      <c r="C39" s="26">
        <v>4282.93</v>
      </c>
      <c r="D39" s="27">
        <v>505.54710399999999</v>
      </c>
      <c r="E39" s="27">
        <v>10.647555071999999</v>
      </c>
      <c r="F39" s="127">
        <f>((Tabla19101113143246102[[#This Row],[Total exportaciones del grupo
 a USA (US$ millones)]]*1000)/(Tabla19101113143246102[[#This Row],[Total exportaciones
 a USA (US$ miles)]])/((D39/1000)/E39))</f>
        <v>732.8121200102787</v>
      </c>
      <c r="G39" s="98" t="str">
        <f>IF(Tabla19101113143246102[[#This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>
        <f>'Participación Mundial 05'!C12</f>
        <v>183.25291200000001</v>
      </c>
      <c r="C40" s="26">
        <v>4379.28</v>
      </c>
      <c r="D40" s="27">
        <v>536.63836800000001</v>
      </c>
      <c r="E40" s="27">
        <v>11.549019136</v>
      </c>
      <c r="F40" s="127">
        <f>((Tabla19101113143246102[[#This Row],[Total exportaciones del grupo
 a USA (US$ millones)]]*1000)/(Tabla19101113143246102[[#This Row],[Total exportaciones
 a USA (US$ miles)]])/((D40/1000)/E40))</f>
        <v>900.55771591939003</v>
      </c>
      <c r="G40" s="98" t="str">
        <f>IF(Tabla19101113143246102[[#This Row],[Indice de Balassa]]&gt;0.33,"VENTAJA","NO VENTAJA")</f>
        <v>VENTAJA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>
        <f>'Participación Mundial 05'!C13</f>
        <v>160.56084799999999</v>
      </c>
      <c r="C41" s="26">
        <v>4139.68</v>
      </c>
      <c r="D41" s="27">
        <v>520.86332800000002</v>
      </c>
      <c r="E41" s="27">
        <v>10.8212224</v>
      </c>
      <c r="F41" s="127">
        <f>((Tabla19101113143246102[[#This Row],[Total exportaciones del grupo
 a USA (US$ millones)]]*1000)/(Tabla19101113143246102[[#This Row],[Total exportaciones
 a USA (US$ miles)]])/((D41/1000)/E41))</f>
        <v>805.79658664899807</v>
      </c>
      <c r="G41" s="98" t="str">
        <f>IF(Tabla19101113143246102[[#This Row],[Indice de Balassa]]&gt;0.33,"VENTAJA","NO VENTAJA")</f>
        <v>VENTAJA</v>
      </c>
      <c r="M41" t="s">
        <v>101</v>
      </c>
    </row>
    <row r="42" spans="1:17" x14ac:dyDescent="0.25">
      <c r="A42" s="31">
        <v>1999</v>
      </c>
      <c r="B42" s="73">
        <f>'Participación Mundial 05'!C14</f>
        <v>233.62775999999999</v>
      </c>
      <c r="C42" s="26">
        <v>5817.43</v>
      </c>
      <c r="D42" s="27">
        <v>624.61894400000006</v>
      </c>
      <c r="E42" s="27">
        <v>11.617030143999999</v>
      </c>
      <c r="F42" s="127">
        <f>((Tabla19101113143246102[[#This Row],[Total exportaciones del grupo
 a USA (US$ millones)]]*1000)/(Tabla19101113143246102[[#This Row],[Total exportaciones
 a USA (US$ miles)]])/((D42/1000)/E42))</f>
        <v>746.91854636462892</v>
      </c>
      <c r="G42" s="98" t="str">
        <f>IF(Tabla19101113143246102[[#This Row],[Indice de Balassa]]&gt;0.33,"VENTAJA","NO VENTAJA")</f>
        <v>VENTAJA</v>
      </c>
    </row>
    <row r="43" spans="1:17" x14ac:dyDescent="0.25">
      <c r="A43" s="31">
        <v>2000</v>
      </c>
      <c r="B43" s="73">
        <f>'Participación Mundial 05'!C15</f>
        <v>205.67479800000001</v>
      </c>
      <c r="C43" s="26">
        <v>6632.13</v>
      </c>
      <c r="D43" s="27">
        <v>553.08833900000002</v>
      </c>
      <c r="E43" s="27">
        <v>13.158400846999999</v>
      </c>
      <c r="F43" s="127">
        <f>((Tabla19101113143246102[[#This Row],[Total exportaciones del grupo
 a USA (US$ millones)]]*1000)/(Tabla19101113143246102[[#This Row],[Total exportaciones
 a USA (US$ miles)]])/((D43/1000)/E43))</f>
        <v>737.79661624125924</v>
      </c>
      <c r="G43" s="98" t="str">
        <f>IF(Tabla19101113143246102[[#This Row],[Indice de Balassa]]&gt;0.33,"VENTAJA","NO VENTAJA")</f>
        <v>VENTAJA</v>
      </c>
    </row>
    <row r="44" spans="1:17" x14ac:dyDescent="0.25">
      <c r="A44" s="31">
        <v>2001</v>
      </c>
      <c r="B44" s="73">
        <f>'Participación Mundial 05'!C16</f>
        <v>180.33841799999999</v>
      </c>
      <c r="C44" s="26">
        <v>5344.53</v>
      </c>
      <c r="D44" s="27">
        <v>477.52993800000002</v>
      </c>
      <c r="E44" s="27">
        <v>12.301486486</v>
      </c>
      <c r="F44" s="127">
        <f>((Tabla19101113143246102[[#This Row],[Total exportaciones del grupo
 a USA (US$ millones)]]*1000)/(Tabla19101113143246102[[#This Row],[Total exportaciones
 a USA (US$ miles)]])/((D44/1000)/E44))</f>
        <v>869.23203983258577</v>
      </c>
      <c r="G44" s="98" t="str">
        <f>IF(Tabla19101113143246102[[#This Row],[Indice de Balassa]]&gt;0.33,"VENTAJA","NO VENTAJA")</f>
        <v>VENTAJA</v>
      </c>
    </row>
    <row r="45" spans="1:17" x14ac:dyDescent="0.25">
      <c r="A45" s="31">
        <v>2002</v>
      </c>
      <c r="B45" s="73">
        <f>'Participación Mundial 05'!C17</f>
        <v>188.665188</v>
      </c>
      <c r="C45" s="26">
        <v>5328.47</v>
      </c>
      <c r="D45" s="27">
        <v>492.92302699999999</v>
      </c>
      <c r="E45" s="27">
        <v>11.897488381000001</v>
      </c>
      <c r="F45" s="127">
        <f>((Tabla19101113143246102[[#This Row],[Total exportaciones del grupo
 a USA (US$ millones)]]*1000)/(Tabla19101113143246102[[#This Row],[Total exportaciones
 a USA (US$ miles)]])/((D45/1000)/E45))</f>
        <v>854.60500170977343</v>
      </c>
      <c r="G45" s="98" t="str">
        <f>IF(Tabla19101113143246102[[#This Row],[Indice de Balassa]]&gt;0.33,"VENTAJA","NO VENTAJA")</f>
        <v>VENTAJA</v>
      </c>
    </row>
    <row r="46" spans="1:17" x14ac:dyDescent="0.25">
      <c r="A46" s="31">
        <v>2003</v>
      </c>
      <c r="B46" s="73">
        <f>'Participación Mundial 05'!C18</f>
        <v>177.883725</v>
      </c>
      <c r="C46" s="26">
        <v>6160.2</v>
      </c>
      <c r="D46" s="27">
        <v>477.923067</v>
      </c>
      <c r="E46" s="27">
        <v>13.092218068999999</v>
      </c>
      <c r="F46" s="127">
        <f>((Tabla19101113143246102[[#This Row],[Total exportaciones del grupo
 a USA (US$ millones)]]*1000)/(Tabla19101113143246102[[#This Row],[Total exportaciones
 a USA (US$ miles)]])/((D46/1000)/E46))</f>
        <v>791.0367147154393</v>
      </c>
      <c r="G46" s="98" t="str">
        <f>IF(Tabla19101113143246102[[#This Row],[Indice de Balassa]]&gt;0.33,"VENTAJA","NO VENTAJA")</f>
        <v>VENTAJA</v>
      </c>
    </row>
    <row r="47" spans="1:17" x14ac:dyDescent="0.25">
      <c r="A47" s="31">
        <v>2004</v>
      </c>
      <c r="B47" s="73">
        <f>'Participación Mundial 05'!C19</f>
        <v>170.255897</v>
      </c>
      <c r="C47" s="26">
        <v>7042.2</v>
      </c>
      <c r="D47" s="27">
        <v>510.96714300000002</v>
      </c>
      <c r="E47" s="27">
        <v>16.729677706</v>
      </c>
      <c r="F47" s="127">
        <f>((Tabla19101113143246102[[#This Row],[Total exportaciones del grupo
 a USA (US$ millones)]]*1000)/(Tabla19101113143246102[[#This Row],[Total exportaciones
 a USA (US$ miles)]])/((D47/1000)/E47))</f>
        <v>791.5683265677817</v>
      </c>
      <c r="G47" s="98" t="str">
        <f>IF(Tabla19101113143246102[[#This Row],[Indice de Balassa]]&gt;0.33,"VENTAJA","NO VENTAJA")</f>
        <v>VENTAJA</v>
      </c>
    </row>
    <row r="48" spans="1:17" x14ac:dyDescent="0.25">
      <c r="A48" s="31">
        <v>2005</v>
      </c>
      <c r="B48" s="73">
        <f>'Participación Mundial 05'!C20</f>
        <v>209.21320399999999</v>
      </c>
      <c r="C48" s="26">
        <v>8851.6299999999992</v>
      </c>
      <c r="D48" s="27">
        <v>612.80243900000005</v>
      </c>
      <c r="E48" s="27">
        <v>21.190438735000001</v>
      </c>
      <c r="F48" s="127">
        <f>((Tabla19101113143246102[[#This Row],[Total exportaciones del grupo
 a USA (US$ millones)]]*1000)/(Tabla19101113143246102[[#This Row],[Total exportaciones
 a USA (US$ miles)]])/((D48/1000)/E48))</f>
        <v>817.30715697367134</v>
      </c>
      <c r="G48" s="98" t="str">
        <f>IF(Tabla19101113143246102[[#This Row],[Indice de Balassa]]&gt;0.33,"VENTAJA","NO VENTAJA")</f>
        <v>VENTAJA</v>
      </c>
    </row>
    <row r="49" spans="1:25" x14ac:dyDescent="0.25">
      <c r="A49" s="31">
        <v>2006</v>
      </c>
      <c r="B49" s="73">
        <f>'Participación Mundial 05'!C21</f>
        <v>205.68426400000001</v>
      </c>
      <c r="C49" s="26">
        <v>9948.23</v>
      </c>
      <c r="D49" s="27">
        <v>653.71562500000005</v>
      </c>
      <c r="E49" s="27">
        <v>24.390975102999999</v>
      </c>
      <c r="F49" s="127">
        <f>((Tabla19101113143246102[[#This Row],[Total exportaciones del grupo
 a USA (US$ millones)]]*1000)/(Tabla19101113143246102[[#This Row],[Total exportaciones
 a USA (US$ miles)]])/((D49/1000)/E49))</f>
        <v>771.42826430631249</v>
      </c>
      <c r="G49" s="98" t="str">
        <f>IF(Tabla19101113143246102[[#This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f>'Participación Mundial 05'!C22</f>
        <v>179.43127200000001</v>
      </c>
      <c r="C50" s="26">
        <v>10609.17</v>
      </c>
      <c r="D50" s="26">
        <v>768.57155299999999</v>
      </c>
      <c r="E50" s="26">
        <v>29.991332</v>
      </c>
      <c r="F50" s="127">
        <f>((Tabla19101113143246102[[#This Row],[Total exportaciones del grupo
 a USA (US$ millones)]]*1000)/(Tabla19101113143246102[[#This Row],[Total exportaciones
 a USA (US$ miles)]])/((D50/1000)/E50))</f>
        <v>659.97605027572479</v>
      </c>
      <c r="G50" s="98" t="str">
        <f>IF(Tabla19101113143246102[[#This Row],[Indice de Balassa]]&gt;0.33,"VENTAJA","NO VENTAJA")</f>
        <v>VENTAJA</v>
      </c>
    </row>
    <row r="51" spans="1:25" x14ac:dyDescent="0.25">
      <c r="A51" s="31">
        <v>2008</v>
      </c>
      <c r="B51" s="73">
        <f>'Participación Mundial 05'!C23</f>
        <v>208.32001099999999</v>
      </c>
      <c r="C51" s="26">
        <v>14288.83</v>
      </c>
      <c r="D51" s="26">
        <v>851.10765900000001</v>
      </c>
      <c r="E51" s="26">
        <v>37.625882064999999</v>
      </c>
      <c r="F51" s="127">
        <f>((Tabla19101113143246102[[#This Row],[Total exportaciones del grupo
 a USA (US$ millones)]]*1000)/(Tabla19101113143246102[[#This Row],[Total exportaciones
 a USA (US$ miles)]])/((D51/1000)/E51))</f>
        <v>644.52016818444383</v>
      </c>
      <c r="G51" s="98" t="str">
        <f>IF(Tabla19101113143246102[[#This Row],[Indice de Balassa]]&gt;0.33,"VENTAJA","NO VENTAJA")</f>
        <v>VENTAJA</v>
      </c>
    </row>
    <row r="52" spans="1:25" x14ac:dyDescent="0.25">
      <c r="A52" s="31">
        <v>2009</v>
      </c>
      <c r="B52" s="73">
        <f>'Participación Mundial 05'!C24</f>
        <v>292.94803100000001</v>
      </c>
      <c r="C52" s="26">
        <v>13123.47</v>
      </c>
      <c r="D52" s="26">
        <v>968.10952299999997</v>
      </c>
      <c r="E52" s="26">
        <v>32.852985836999999</v>
      </c>
      <c r="F52" s="127">
        <f>((Tabla19101113143246102[[#This Row],[Total exportaciones del grupo
 a USA (US$ millones)]]*1000)/(Tabla19101113143246102[[#This Row],[Total exportaciones
 a USA (US$ miles)]])/((D52/1000)/E52))</f>
        <v>757.51677533933741</v>
      </c>
      <c r="G52" s="98" t="str">
        <f>IF(Tabla19101113143246102[[#This Row],[Indice de Balassa]]&gt;0.33,"VENTAJA","NO VENTAJA")</f>
        <v>VENTAJA</v>
      </c>
    </row>
    <row r="53" spans="1:25" x14ac:dyDescent="0.25">
      <c r="A53" s="31">
        <v>2010</v>
      </c>
      <c r="B53" s="73">
        <f>'Participación Mundial 05'!C25</f>
        <v>265.840957</v>
      </c>
      <c r="C53" s="26">
        <v>17143.28</v>
      </c>
      <c r="D53" s="26">
        <v>860.26050399999997</v>
      </c>
      <c r="E53" s="26">
        <v>39.819528642000002</v>
      </c>
      <c r="F53" s="127">
        <f>((Tabla19101113143246102[[#This Row],[Total exportaciones del grupo
 a USA (US$ millones)]]*1000)/(Tabla19101113143246102[[#This Row],[Total exportaciones
 a USA (US$ miles)]])/((D53/1000)/E53))</f>
        <v>717.78454627011206</v>
      </c>
      <c r="G53" s="98" t="str">
        <f>IF(Tabla19101113143246102[[#This Row],[Indice de Balassa]]&gt;0.33,"VENTAJA","NO VENTAJA")</f>
        <v>VENTAJA</v>
      </c>
    </row>
    <row r="54" spans="1:25" x14ac:dyDescent="0.25">
      <c r="A54" s="31">
        <v>2011</v>
      </c>
      <c r="B54" s="73">
        <f>'Participación Mundial 05'!C26</f>
        <v>233.95684900000001</v>
      </c>
      <c r="C54" s="26">
        <v>21948.53</v>
      </c>
      <c r="D54" s="26">
        <v>942.11998400000004</v>
      </c>
      <c r="E54" s="26">
        <v>56.953516086</v>
      </c>
      <c r="F54" s="127">
        <f>((Tabla19101113143246102[[#This Row],[Total exportaciones del grupo
 a USA (US$ millones)]]*1000)/(Tabla19101113143246102[[#This Row],[Total exportaciones
 a USA (US$ miles)]])/((D54/1000)/E54))</f>
        <v>644.38385347611802</v>
      </c>
      <c r="G54" s="98" t="str">
        <f>IF(Tabla19101113143246102[[#This Row],[Indice de Balassa]]&gt;0.33,"VENTAJA","NO VENTAJA")</f>
        <v>VENTAJA</v>
      </c>
    </row>
    <row r="55" spans="1:25" x14ac:dyDescent="0.25">
      <c r="A55" s="31">
        <v>2012</v>
      </c>
      <c r="B55" s="73">
        <f>'Participación Mundial 05'!C27</f>
        <v>268.91415699999999</v>
      </c>
      <c r="C55" s="26">
        <v>22216.240000000002</v>
      </c>
      <c r="D55" s="26">
        <v>941.56262300000003</v>
      </c>
      <c r="E55" s="26">
        <v>60.273618167999999</v>
      </c>
      <c r="F55" s="127">
        <f>((Tabla19101113143246102[[#This Row],[Total exportaciones del grupo
 a USA (US$ millones)]]*1000)/(Tabla19101113143246102[[#This Row],[Total exportaciones
 a USA (US$ miles)]])/((D55/1000)/E55))</f>
        <v>774.85628551480943</v>
      </c>
      <c r="G55" s="98" t="str">
        <f>IF(Tabla19101113143246102[[#This Row],[Indice de Balassa]]&gt;0.33,"VENTAJA","NO VENTAJA")</f>
        <v>VENTAJA</v>
      </c>
    </row>
    <row r="56" spans="1:25" x14ac:dyDescent="0.25">
      <c r="A56" s="31">
        <v>2013</v>
      </c>
      <c r="B56" s="73">
        <f>'Participación Mundial 05'!C28</f>
        <v>242.415783</v>
      </c>
      <c r="C56" s="26">
        <v>18692.900000000001</v>
      </c>
      <c r="D56" s="26">
        <v>895.16901900000005</v>
      </c>
      <c r="E56" s="26">
        <v>58.821869986999999</v>
      </c>
      <c r="F56" s="127">
        <f>((Tabla19101113143246102[[#This Row],[Total exportaciones del grupo
 a USA (US$ millones)]]*1000)/(Tabla19101113143246102[[#This Row],[Total exportaciones
 a USA (US$ miles)]])/((D56/1000)/E56))</f>
        <v>852.15381591047424</v>
      </c>
      <c r="G56" s="98" t="str">
        <f>IF(Tabla19101113143246102[[#This Row],[Indice de Balassa]]&gt;0.33,"VENTAJA","NO VENTAJA")</f>
        <v>VENTAJA</v>
      </c>
    </row>
    <row r="57" spans="1:25" x14ac:dyDescent="0.25">
      <c r="A57" s="31">
        <v>2014</v>
      </c>
      <c r="B57" s="73">
        <f>'Participación Mundial 05'!C29</f>
        <v>266.42256800000001</v>
      </c>
      <c r="C57" s="26">
        <v>14470.7</v>
      </c>
      <c r="D57" s="26">
        <v>985.117616</v>
      </c>
      <c r="E57" s="26">
        <v>54.794812014999998</v>
      </c>
      <c r="F57" s="127">
        <f>((Tabla19101113143246102[[#This Row],[Total exportaciones del grupo
 a USA (US$ millones)]]*1000)/(Tabla19101113143246102[[#This Row],[Total exportaciones
 a USA (US$ miles)]])/((D57/1000)/E57))</f>
        <v>1024.0775041834686</v>
      </c>
      <c r="G57" s="98" t="str">
        <f>IF(Tabla19101113143246102[[#This Row],[Indice de Balassa]]&gt;0.33,"VENTAJA","NO VENTAJA")</f>
        <v>VENTAJA</v>
      </c>
    </row>
    <row r="58" spans="1:25" x14ac:dyDescent="0.25">
      <c r="A58" s="31">
        <v>2015</v>
      </c>
      <c r="B58" s="73">
        <f>'Participación Mundial 05'!C30</f>
        <v>209.47781000000001</v>
      </c>
      <c r="C58" s="3">
        <v>14074</v>
      </c>
      <c r="D58" s="3">
        <v>959.99729300000001</v>
      </c>
      <c r="E58" s="3">
        <v>35.690766592999999</v>
      </c>
      <c r="F58" s="127">
        <f>((Tabla19101113143246102[[#This Row],[Total exportaciones del grupo
 a USA (US$ millones)]]*1000)/(Tabla19101113143246102[[#This Row],[Total exportaciones
 a USA (US$ miles)]])/((D58/1000)/E58))</f>
        <v>553.35819486429443</v>
      </c>
      <c r="G58" s="98" t="str">
        <f>IF(Tabla19101113143246102[[#This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28" t="s">
        <v>24</v>
      </c>
    </row>
    <row r="63" spans="1:25" x14ac:dyDescent="0.25">
      <c r="A63" s="31">
        <v>1991</v>
      </c>
      <c r="B63" s="73">
        <f>'Balanza c 05'!B2</f>
        <v>163.96332500000003</v>
      </c>
      <c r="C63" s="84">
        <f>'Apertura 05'!B184</f>
        <v>186.107427</v>
      </c>
      <c r="D63" s="32">
        <f>1-(Tabla1910111314123347103[[#This Row],[Balanza Comercial Colombia 
( US$ millones)]]/Tabla1910111314123347103[[#This Row],[Balanza Comercial Absoluta Colombia 
(US$ millones)]])</f>
        <v>0.11898558997325759</v>
      </c>
      <c r="E63" s="2" t="s">
        <v>157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>
        <f>'Balanza c 05'!B3</f>
        <v>143.991108</v>
      </c>
      <c r="C64" s="84">
        <f>'Apertura 05'!B185</f>
        <v>173.103004</v>
      </c>
      <c r="D64" s="32">
        <f>1-(Tabla1910111314123347103[[#This Row],[Balanza Comercial Colombia 
( US$ millones)]]/Tabla1910111314123347103[[#This Row],[Balanza Comercial Absoluta Colombia 
(US$ millones)]])</f>
        <v>0.16817672326472166</v>
      </c>
      <c r="E64" s="2" t="s">
        <v>157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>
        <f>'Balanza c 05'!B4</f>
        <v>201.22895299999999</v>
      </c>
      <c r="C65" s="84">
        <f>'Apertura 05'!B186</f>
        <v>218.984487</v>
      </c>
      <c r="D65" s="32">
        <f>1-(Tabla1910111314123347103[[#This Row],[Balanza Comercial Colombia 
( US$ millones)]]/Tabla1910111314123347103[[#This Row],[Balanza Comercial Absoluta Colombia 
(US$ millones)]])</f>
        <v>8.1081241156593986E-2</v>
      </c>
      <c r="E65" s="2" t="str">
        <f>IF(D65&gt;0.1&lt;0.33,"POTENCIAL CMRCIO INT",IF(D65&gt;0.33,"INDICIOS DE CMRCIO INT",IF(D65&lt;0.1,"REL. INTERINDUSTRIALES")))</f>
        <v>REL. INTERINDUSTRIALES</v>
      </c>
      <c r="G65" s="112"/>
      <c r="K65" s="49"/>
      <c r="M65" s="49"/>
      <c r="O65" s="49"/>
    </row>
    <row r="66" spans="1:15" x14ac:dyDescent="0.25">
      <c r="A66" s="31">
        <v>1994</v>
      </c>
      <c r="B66" s="73">
        <f>'Balanza c 05'!B5</f>
        <v>213.57340400000001</v>
      </c>
      <c r="C66" s="84">
        <f>'Apertura 05'!B187</f>
        <v>273.70874000000003</v>
      </c>
      <c r="D66" s="32">
        <f>1-(Tabla1910111314123347103[[#This Row],[Balanza Comercial Colombia 
( US$ millones)]]/Tabla1910111314123347103[[#This Row],[Balanza Comercial Absoluta Colombia 
(US$ millones)]])</f>
        <v>0.21970557461921025</v>
      </c>
      <c r="E66" s="2" t="s">
        <v>157</v>
      </c>
      <c r="G66" s="112"/>
      <c r="K66" s="49"/>
      <c r="M66" s="52" t="s">
        <v>136</v>
      </c>
      <c r="O66" s="49"/>
    </row>
    <row r="67" spans="1:15" x14ac:dyDescent="0.25">
      <c r="A67" s="31">
        <v>1995</v>
      </c>
      <c r="B67" s="73">
        <f>'Balanza c 05'!B6</f>
        <v>147.43808799999999</v>
      </c>
      <c r="C67" s="84">
        <f>'Apertura 05'!B188</f>
        <v>207.62341600000002</v>
      </c>
      <c r="D67" s="32">
        <f>1-(Tabla1910111314123347103[[#This Row],[Balanza Comercial Colombia 
( US$ millones)]]/Tabla1910111314123347103[[#This Row],[Balanza Comercial Absoluta Colombia 
(US$ millones)]])</f>
        <v>0.28987736142439746</v>
      </c>
      <c r="E67" s="2" t="s">
        <v>157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05'!B7</f>
        <v>122.664422</v>
      </c>
      <c r="C68" s="84">
        <f>'Apertura 05'!B189</f>
        <v>175.37612200000001</v>
      </c>
      <c r="D68" s="32">
        <f>1-(Tabla1910111314123347103[[#This Row],[Balanza Comercial Colombia 
( US$ millones)]]/Tabla1910111314123347103[[#This Row],[Balanza Comercial Absoluta Colombia 
(US$ millones)]])</f>
        <v>0.30056372212404148</v>
      </c>
      <c r="E68" s="2" t="s">
        <v>157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>
        <f>'Balanza c 05'!B8</f>
        <v>149.53167200000001</v>
      </c>
      <c r="C69" s="84">
        <f>'Apertura 05'!B190</f>
        <v>216.974152</v>
      </c>
      <c r="D69" s="32">
        <f>1-(Tabla1910111314123347103[[#This Row],[Balanza Comercial Colombia 
( US$ millones)]]/Tabla1910111314123347103[[#This Row],[Balanza Comercial Absoluta Colombia 
(US$ millones)]])</f>
        <v>0.31083186351155778</v>
      </c>
      <c r="E69" s="2" t="s">
        <v>157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>
        <f>'Balanza c 05'!B9</f>
        <v>132.476924</v>
      </c>
      <c r="C70" s="84">
        <f>'Apertura 05'!B191</f>
        <v>188.64477199999999</v>
      </c>
      <c r="D70" s="32">
        <f>1-(Tabla1910111314123347103[[#This Row],[Balanza Comercial Colombia 
( US$ millones)]]/Tabla1910111314123347103[[#This Row],[Balanza Comercial Absoluta Colombia 
(US$ millones)]])</f>
        <v>0.29774399472888646</v>
      </c>
      <c r="E70" s="2" t="s">
        <v>157</v>
      </c>
    </row>
    <row r="71" spans="1:15" x14ac:dyDescent="0.25">
      <c r="A71" s="31">
        <v>1999</v>
      </c>
      <c r="B71" s="73">
        <f>'Balanza c 05'!B10</f>
        <v>210.18230399999999</v>
      </c>
      <c r="C71" s="84">
        <f>'Apertura 05'!B192</f>
        <v>257.073216</v>
      </c>
      <c r="D71" s="32">
        <f>1-(Tabla1910111314123347103[[#This Row],[Balanza Comercial Colombia 
( US$ millones)]]/Tabla1910111314123347103[[#This Row],[Balanza Comercial Absoluta Colombia 
(US$ millones)]])</f>
        <v>0.18240294624858944</v>
      </c>
      <c r="E71" s="2" t="s">
        <v>157</v>
      </c>
    </row>
    <row r="72" spans="1:15" x14ac:dyDescent="0.25">
      <c r="A72" s="31">
        <v>2000</v>
      </c>
      <c r="B72" s="73">
        <f>'Balanza c 05'!B11</f>
        <v>183.54439200000002</v>
      </c>
      <c r="C72" s="84">
        <f>'Apertura 05'!B193</f>
        <v>227.805204</v>
      </c>
      <c r="D72" s="32">
        <f>1-(Tabla1910111314123347103[[#This Row],[Balanza Comercial Colombia 
( US$ millones)]]/Tabla1910111314123347103[[#This Row],[Balanza Comercial Absoluta Colombia 
(US$ millones)]])</f>
        <v>0.19429236568274355</v>
      </c>
      <c r="E72" s="2" t="s">
        <v>157</v>
      </c>
    </row>
    <row r="73" spans="1:15" x14ac:dyDescent="0.25">
      <c r="A73" s="31">
        <v>2001</v>
      </c>
      <c r="B73" s="73">
        <f>'Balanza c 05'!B12</f>
        <v>163.14546799999999</v>
      </c>
      <c r="C73" s="84">
        <f>'Apertura 05'!B194</f>
        <v>197.53136799999999</v>
      </c>
      <c r="D73" s="32">
        <f>1-(Tabla1910111314123347103[[#This Row],[Balanza Comercial Colombia 
( US$ millones)]]/Tabla1910111314123347103[[#This Row],[Balanza Comercial Absoluta Colombia 
(US$ millones)]])</f>
        <v>0.1740781747636152</v>
      </c>
      <c r="E73" s="2" t="s">
        <v>157</v>
      </c>
    </row>
    <row r="74" spans="1:15" x14ac:dyDescent="0.25">
      <c r="A74" s="31">
        <v>2002</v>
      </c>
      <c r="B74" s="73">
        <f>'Balanza c 05'!B13</f>
        <v>171.77539999999999</v>
      </c>
      <c r="C74" s="84">
        <f>'Apertura 05'!B195</f>
        <v>205.55497600000001</v>
      </c>
      <c r="D74" s="32">
        <f>1-(Tabla1910111314123347103[[#This Row],[Balanza Comercial Colombia 
( US$ millones)]]/Tabla1910111314123347103[[#This Row],[Balanza Comercial Absoluta Colombia 
(US$ millones)]])</f>
        <v>0.16433353576417442</v>
      </c>
      <c r="E74" s="2" t="s">
        <v>157</v>
      </c>
    </row>
    <row r="75" spans="1:15" x14ac:dyDescent="0.25">
      <c r="A75" s="31">
        <v>2003</v>
      </c>
      <c r="B75" s="73">
        <f>'Balanza c 05'!B14</f>
        <v>163.57700199999999</v>
      </c>
      <c r="C75" s="84">
        <f>'Apertura 05'!B196</f>
        <v>192.190448</v>
      </c>
      <c r="D75" s="32">
        <f>1-(Tabla1910111314123347103[[#This Row],[Balanza Comercial Colombia 
( US$ millones)]]/Tabla1910111314123347103[[#This Row],[Balanza Comercial Absoluta Colombia 
(US$ millones)]])</f>
        <v>0.14888068734820792</v>
      </c>
      <c r="E75" s="2" t="s">
        <v>157</v>
      </c>
    </row>
    <row r="76" spans="1:15" x14ac:dyDescent="0.25">
      <c r="A76" s="31">
        <v>2004</v>
      </c>
      <c r="B76" s="73">
        <f>'Balanza c 05'!B15</f>
        <v>153.33411799999999</v>
      </c>
      <c r="C76" s="84">
        <f>'Apertura 05'!B197</f>
        <v>187.17767600000002</v>
      </c>
      <c r="D76" s="32">
        <f>1-(Tabla1910111314123347103[[#This Row],[Balanza Comercial Colombia 
( US$ millones)]]/Tabla1910111314123347103[[#This Row],[Balanza Comercial Absoluta Colombia 
(US$ millones)]])</f>
        <v>0.18080979913437978</v>
      </c>
      <c r="E76" s="2" t="s">
        <v>157</v>
      </c>
    </row>
    <row r="77" spans="1:15" x14ac:dyDescent="0.25">
      <c r="A77" s="31">
        <v>2005</v>
      </c>
      <c r="B77" s="73">
        <f>'Balanza c 05'!B16</f>
        <v>186.39748899999998</v>
      </c>
      <c r="C77" s="84">
        <f>'Apertura 05'!B198</f>
        <v>232.028919</v>
      </c>
      <c r="D77" s="32">
        <f>1-(Tabla1910111314123347103[[#This Row],[Balanza Comercial Colombia 
( US$ millones)]]/Tabla1910111314123347103[[#This Row],[Balanza Comercial Absoluta Colombia 
(US$ millones)]])</f>
        <v>0.19666268410275201</v>
      </c>
      <c r="E77" s="2" t="s">
        <v>157</v>
      </c>
    </row>
    <row r="78" spans="1:15" x14ac:dyDescent="0.25">
      <c r="A78" s="31">
        <v>2006</v>
      </c>
      <c r="B78" s="73">
        <f>'Balanza c 05'!B17</f>
        <v>179.97301900000002</v>
      </c>
      <c r="C78" s="84">
        <f>'Apertura 05'!B199</f>
        <v>231.395509</v>
      </c>
      <c r="D78" s="32">
        <f>1-(Tabla1910111314123347103[[#This Row],[Balanza Comercial Colombia 
( US$ millones)]]/Tabla1910111314123347103[[#This Row],[Balanza Comercial Absoluta Colombia 
(US$ millones)]])</f>
        <v>0.22222769241385743</v>
      </c>
      <c r="E78" s="2" t="s">
        <v>157</v>
      </c>
    </row>
    <row r="79" spans="1:15" x14ac:dyDescent="0.25">
      <c r="A79" s="31">
        <v>2007</v>
      </c>
      <c r="B79" s="73">
        <f>'Balanza c 05'!B18</f>
        <v>141.54598300000001</v>
      </c>
      <c r="C79" s="84">
        <f>'Apertura 05'!B200</f>
        <v>217.31656100000001</v>
      </c>
      <c r="D79" s="32">
        <f>1-(Tabla1910111314123347103[[#This Row],[Balanza Comercial Colombia 
( US$ millones)]]/Tabla1910111314123347103[[#This Row],[Balanza Comercial Absoluta Colombia 
(US$ millones)]])</f>
        <v>0.34866453643171724</v>
      </c>
      <c r="E79" s="2" t="str">
        <f>IF(D79&gt;0.1&lt;0.33,"POTENCIAL CMRCIO INT",IF(D79&gt;0.33,"INDICIOS DE CMRCIO INT",IF(D79&lt;0.1,"REL. INTERINDUSTRIALES")))</f>
        <v>INDICIOS DE CMRCIO INT</v>
      </c>
    </row>
    <row r="80" spans="1:15" x14ac:dyDescent="0.25">
      <c r="A80" s="31">
        <v>2008</v>
      </c>
      <c r="B80" s="73">
        <f>'Balanza c 05'!B19</f>
        <v>167.030145</v>
      </c>
      <c r="C80" s="84">
        <f>'Apertura 05'!B201</f>
        <v>249.60987699999998</v>
      </c>
      <c r="D80" s="32">
        <f>1-(Tabla1910111314123347103[[#This Row],[Balanza Comercial Colombia 
( US$ millones)]]/Tabla1910111314123347103[[#This Row],[Balanza Comercial Absoluta Colombia 
(US$ millones)]])</f>
        <v>0.33083519367304515</v>
      </c>
      <c r="E80" s="2" t="str">
        <f>IF(D80&gt;0.1&lt;0.33,"POTENCIAL CMRCIO INT",IF(D80&gt;0.33,"INDICIOS DE CMRCIO INT",IF(D80&lt;0.1,"REL. INTERINDUSTRIALES")))</f>
        <v>INDICIOS DE CMRCIO INT</v>
      </c>
    </row>
    <row r="81" spans="1:5" x14ac:dyDescent="0.25">
      <c r="A81" s="31">
        <v>2009</v>
      </c>
      <c r="B81" s="73">
        <f>'Balanza c 05'!B20</f>
        <v>238.53495700000002</v>
      </c>
      <c r="C81" s="84">
        <f>'Apertura 05'!B202</f>
        <v>347.36110500000001</v>
      </c>
      <c r="D81" s="32">
        <f>1-(Tabla1910111314123347103[[#This Row],[Balanza Comercial Colombia 
( US$ millones)]]/Tabla1910111314123347103[[#This Row],[Balanza Comercial Absoluta Colombia 
(US$ millones)]])</f>
        <v>0.31329399415631176</v>
      </c>
      <c r="E81" s="2" t="s">
        <v>157</v>
      </c>
    </row>
    <row r="82" spans="1:5" x14ac:dyDescent="0.25">
      <c r="A82" s="31">
        <v>2010</v>
      </c>
      <c r="B82" s="73">
        <f>'Balanza c 05'!B21</f>
        <v>215.438163</v>
      </c>
      <c r="C82" s="84">
        <f>'Apertura 05'!B203</f>
        <v>316.24375099999997</v>
      </c>
      <c r="D82" s="32">
        <f>1-(Tabla1910111314123347103[[#This Row],[Balanza Comercial Colombia 
( US$ millones)]]/Tabla1910111314123347103[[#This Row],[Balanza Comercial Absoluta Colombia 
(US$ millones)]])</f>
        <v>0.31875914601076172</v>
      </c>
      <c r="E82" s="2" t="s">
        <v>157</v>
      </c>
    </row>
    <row r="83" spans="1:5" x14ac:dyDescent="0.25">
      <c r="A83" s="31">
        <v>2011</v>
      </c>
      <c r="B83" s="73">
        <f>'Balanza c 05'!B22</f>
        <v>160.440538</v>
      </c>
      <c r="C83" s="84">
        <f>'Apertura 05'!B204</f>
        <v>307.47316000000001</v>
      </c>
      <c r="D83" s="32">
        <f>1-(Tabla1910111314123347103[[#This Row],[Balanza Comercial Colombia 
( US$ millones)]]/Tabla1910111314123347103[[#This Row],[Balanza Comercial Absoluta Colombia 
(US$ millones)]])</f>
        <v>0.47819660746973813</v>
      </c>
      <c r="E83" s="2" t="str">
        <f>IF(D83&gt;0.1&lt;0.33,"POTENCIAL CMRCIO INT",IF(D83&gt;0.33,"INDICIOS DE CMRCIO INT",IF(D83&lt;0.1,"REL. INTERINDUSTRIALES")))</f>
        <v>INDICIOS DE CMRCIO INT</v>
      </c>
    </row>
    <row r="84" spans="1:5" x14ac:dyDescent="0.25">
      <c r="A84" s="31">
        <v>2012</v>
      </c>
      <c r="B84" s="73">
        <f>'Balanza c 05'!B23</f>
        <v>176.406566</v>
      </c>
      <c r="C84" s="84">
        <f>'Apertura 05'!B205</f>
        <v>361.42174799999998</v>
      </c>
      <c r="D84" s="32">
        <f>1-(Tabla1910111314123347103[[#This Row],[Balanza Comercial Colombia 
( US$ millones)]]/Tabla1910111314123347103[[#This Row],[Balanza Comercial Absoluta Colombia 
(US$ millones)]])</f>
        <v>0.51190937740691789</v>
      </c>
      <c r="E84" s="2" t="str">
        <f>IF(D84&gt;0.1&lt;0.33,"POTENCIAL CMRCIO INT",IF(D84&gt;0.33,"INDICIOS DE CMRCIO INT",IF(D84&lt;0.1,"REL. INTERINDUSTRIALES")))</f>
        <v>INDICIOS DE CMRCIO INT</v>
      </c>
    </row>
    <row r="85" spans="1:5" x14ac:dyDescent="0.25">
      <c r="A85" s="31">
        <v>2013</v>
      </c>
      <c r="B85" s="73">
        <f>'Balanza c 05'!B24</f>
        <v>126.422747</v>
      </c>
      <c r="C85" s="84">
        <f>'Apertura 05'!B206</f>
        <v>358.40881899999999</v>
      </c>
      <c r="D85" s="32">
        <f>1-(Tabla1910111314123347103[[#This Row],[Balanza Comercial Colombia 
( US$ millones)]]/Tabla1910111314123347103[[#This Row],[Balanza Comercial Absoluta Colombia 
(US$ millones)]])</f>
        <v>0.64726663994280786</v>
      </c>
      <c r="E85" s="2" t="str">
        <f>IF(D85&gt;0.1&lt;0.33,"POTENCIAL CMRCIO INT",IF(D85&gt;0.33,"INDICIOS DE CMRCIO INT",IF(D85&lt;0.1,"REL. INTERINDUSTRIALES")))</f>
        <v>INDICIOS DE CMRCIO INT</v>
      </c>
    </row>
    <row r="86" spans="1:5" x14ac:dyDescent="0.25">
      <c r="A86" s="31">
        <v>2014</v>
      </c>
      <c r="B86" s="73">
        <f>'Balanza c 05'!B25</f>
        <v>123.98369100000002</v>
      </c>
      <c r="C86" s="84">
        <f>'Apertura 05'!B207</f>
        <v>408.861445</v>
      </c>
      <c r="D86" s="32">
        <f>1-(Tabla1910111314123347103[[#This Row],[Balanza Comercial Colombia 
( US$ millones)]]/Tabla1910111314123347103[[#This Row],[Balanza Comercial Absoluta Colombia 
(US$ millones)]])</f>
        <v>0.69675866356144189</v>
      </c>
      <c r="E86" s="2" t="str">
        <f>IF(D86&gt;0.1&lt;0.33,"POTENCIAL CMRCIO INT",IF(D86&gt;0.33,"INDICIOS DE CMRCIO INT",IF(D86&lt;0.1,"REL. INTERINDUSTRIALES")))</f>
        <v>INDICIOS DE CMRCIO INT</v>
      </c>
    </row>
    <row r="87" spans="1:5" x14ac:dyDescent="0.25">
      <c r="A87" s="31">
        <v>2015</v>
      </c>
      <c r="B87" s="73">
        <f>'Balanza c 05'!B26</f>
        <v>80.395166000000017</v>
      </c>
      <c r="C87" s="84">
        <f>'Apertura 05'!B208</f>
        <v>338.56045399999999</v>
      </c>
      <c r="D87" s="32">
        <f>1-(Tabla1910111314123347103[[#This Row],[Balanza Comercial Colombia 
( US$ millones)]]/Tabla1910111314123347103[[#This Row],[Balanza Comercial Absoluta Colombia 
(US$ millones)]])</f>
        <v>0.76253822603865007</v>
      </c>
      <c r="E87" s="2" t="str">
        <f>IF(D87&gt;0.1&lt;0.33,"POTENCIAL CMRCIO INT",IF(D87&gt;0.33,"INDICIOS DE CMRCIO INT",IF(D87&lt;0.1,"REL. INTERINDUSTRIALES")))</f>
        <v>INDICIOS DE CMRCIO INT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4" priority="3" operator="lessThan">
      <formula>0</formula>
    </cfRule>
  </conditionalFormatting>
  <conditionalFormatting sqref="E63:E87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15" sqref="C15"/>
    </sheetView>
  </sheetViews>
  <sheetFormatPr baseColWidth="10" defaultRowHeight="15" x14ac:dyDescent="0.25"/>
  <cols>
    <col min="2" max="2" width="13.42578125" customWidth="1"/>
  </cols>
  <sheetData>
    <row r="1" spans="1:2" ht="60" x14ac:dyDescent="0.25">
      <c r="A1" s="34" t="s">
        <v>3</v>
      </c>
      <c r="B1" s="34" t="s">
        <v>155</v>
      </c>
    </row>
    <row r="2" spans="1:2" x14ac:dyDescent="0.25">
      <c r="A2" s="54">
        <v>1991</v>
      </c>
      <c r="B2" s="73">
        <v>34.710495999999999</v>
      </c>
    </row>
    <row r="3" spans="1:2" x14ac:dyDescent="0.25">
      <c r="A3" s="55">
        <v>1992</v>
      </c>
      <c r="B3" s="73">
        <v>31.046907999999998</v>
      </c>
    </row>
    <row r="4" spans="1:2" x14ac:dyDescent="0.25">
      <c r="A4" s="54">
        <v>1993</v>
      </c>
      <c r="B4" s="73">
        <v>38.090372000000002</v>
      </c>
    </row>
    <row r="5" spans="1:2" x14ac:dyDescent="0.25">
      <c r="A5" s="55">
        <v>1994</v>
      </c>
      <c r="B5" s="73">
        <v>47.060023999999999</v>
      </c>
    </row>
    <row r="6" spans="1:2" x14ac:dyDescent="0.25">
      <c r="A6" s="54">
        <v>1995</v>
      </c>
      <c r="B6" s="73">
        <v>41.068123999999997</v>
      </c>
    </row>
    <row r="7" spans="1:2" x14ac:dyDescent="0.25">
      <c r="A7" s="55">
        <v>1996</v>
      </c>
      <c r="B7" s="73">
        <v>60.505304000000002</v>
      </c>
    </row>
    <row r="8" spans="1:2" x14ac:dyDescent="0.25">
      <c r="A8" s="54">
        <v>1997</v>
      </c>
      <c r="B8" s="73">
        <v>51.986088000000002</v>
      </c>
    </row>
    <row r="9" spans="1:2" x14ac:dyDescent="0.25">
      <c r="A9" s="55">
        <v>1998</v>
      </c>
      <c r="B9" s="73">
        <v>66.543272000000002</v>
      </c>
    </row>
    <row r="10" spans="1:2" x14ac:dyDescent="0.25">
      <c r="A10" s="54">
        <v>1999</v>
      </c>
      <c r="B10" s="73">
        <v>35.998551999999997</v>
      </c>
    </row>
    <row r="11" spans="1:2" x14ac:dyDescent="0.25">
      <c r="A11" s="55">
        <v>2000</v>
      </c>
      <c r="B11" s="73">
        <v>31.175438</v>
      </c>
    </row>
    <row r="12" spans="1:2" x14ac:dyDescent="0.25">
      <c r="A12" s="55">
        <v>2001</v>
      </c>
      <c r="B12" s="73">
        <v>34.390827000000002</v>
      </c>
    </row>
    <row r="13" spans="1:2" x14ac:dyDescent="0.25">
      <c r="A13" s="55">
        <v>2002</v>
      </c>
      <c r="B13" s="73">
        <v>35.354666000000002</v>
      </c>
    </row>
    <row r="14" spans="1:2" x14ac:dyDescent="0.25">
      <c r="A14" s="54">
        <v>2003</v>
      </c>
      <c r="B14" s="73">
        <v>56.438361</v>
      </c>
    </row>
    <row r="15" spans="1:2" x14ac:dyDescent="0.25">
      <c r="A15" s="55">
        <v>2004</v>
      </c>
      <c r="B15" s="73">
        <v>50.564785000000001</v>
      </c>
    </row>
    <row r="16" spans="1:2" x14ac:dyDescent="0.25">
      <c r="A16" s="54">
        <v>2005</v>
      </c>
      <c r="B16" s="73">
        <v>58.066253000000003</v>
      </c>
    </row>
    <row r="17" spans="1:2" x14ac:dyDescent="0.25">
      <c r="A17" s="55">
        <v>2006</v>
      </c>
      <c r="B17" s="73">
        <v>74.293081999999998</v>
      </c>
    </row>
    <row r="18" spans="1:2" x14ac:dyDescent="0.25">
      <c r="A18" s="54">
        <v>2007</v>
      </c>
      <c r="B18" s="73">
        <v>31.500926</v>
      </c>
    </row>
    <row r="19" spans="1:2" x14ac:dyDescent="0.25">
      <c r="A19" s="55">
        <v>2008</v>
      </c>
      <c r="B19" s="73">
        <v>38.706232</v>
      </c>
    </row>
    <row r="20" spans="1:2" x14ac:dyDescent="0.25">
      <c r="A20" s="54">
        <v>2009</v>
      </c>
      <c r="B20" s="73">
        <v>60.260446999999999</v>
      </c>
    </row>
    <row r="21" spans="1:2" x14ac:dyDescent="0.25">
      <c r="A21" s="55">
        <v>2010</v>
      </c>
      <c r="B21" s="73">
        <v>87.062790000000007</v>
      </c>
    </row>
    <row r="22" spans="1:2" x14ac:dyDescent="0.25">
      <c r="A22" s="54">
        <v>2011</v>
      </c>
      <c r="B22" s="73">
        <v>66.103155999999998</v>
      </c>
    </row>
    <row r="23" spans="1:2" x14ac:dyDescent="0.25">
      <c r="A23" s="55">
        <v>2012</v>
      </c>
      <c r="B23" s="73">
        <v>89.009129999999999</v>
      </c>
    </row>
    <row r="24" spans="1:2" x14ac:dyDescent="0.25">
      <c r="A24" s="54">
        <v>2013</v>
      </c>
      <c r="B24" s="73">
        <v>55.238146</v>
      </c>
    </row>
    <row r="25" spans="1:2" x14ac:dyDescent="0.25">
      <c r="A25" s="55">
        <v>2014</v>
      </c>
      <c r="B25" s="73">
        <v>97.503679000000005</v>
      </c>
    </row>
    <row r="26" spans="1:2" x14ac:dyDescent="0.25">
      <c r="A26" s="54">
        <v>2015</v>
      </c>
      <c r="B26" s="73">
        <v>81.490409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" sqref="B2:B26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141</v>
      </c>
    </row>
    <row r="2" spans="1:2" x14ac:dyDescent="0.25">
      <c r="A2" s="54">
        <v>1991</v>
      </c>
      <c r="B2" s="73">
        <v>1.612754</v>
      </c>
    </row>
    <row r="3" spans="1:2" x14ac:dyDescent="0.25">
      <c r="A3" s="55">
        <v>1992</v>
      </c>
      <c r="B3" s="73">
        <v>1.884484</v>
      </c>
    </row>
    <row r="4" spans="1:2" x14ac:dyDescent="0.25">
      <c r="A4" s="54">
        <v>1993</v>
      </c>
      <c r="B4" s="73">
        <v>1.8790500000000001</v>
      </c>
    </row>
    <row r="5" spans="1:2" x14ac:dyDescent="0.25">
      <c r="A5" s="55">
        <v>1994</v>
      </c>
      <c r="B5" s="73">
        <v>4.0806300000000002</v>
      </c>
    </row>
    <row r="6" spans="1:2" x14ac:dyDescent="0.25">
      <c r="A6" s="54">
        <v>1995</v>
      </c>
      <c r="B6" s="73">
        <v>3.769444</v>
      </c>
    </row>
    <row r="7" spans="1:2" x14ac:dyDescent="0.25">
      <c r="A7" s="55">
        <v>1996</v>
      </c>
      <c r="B7" s="73">
        <v>4.6539869999999999</v>
      </c>
    </row>
    <row r="8" spans="1:2" x14ac:dyDescent="0.25">
      <c r="A8" s="54">
        <v>1997</v>
      </c>
      <c r="B8" s="73">
        <v>4.695678</v>
      </c>
    </row>
    <row r="9" spans="1:2" x14ac:dyDescent="0.25">
      <c r="A9" s="55">
        <v>1998</v>
      </c>
      <c r="B9" s="73">
        <v>5.3708989999999996</v>
      </c>
    </row>
    <row r="10" spans="1:2" x14ac:dyDescent="0.25">
      <c r="A10" s="54">
        <v>1999</v>
      </c>
      <c r="B10" s="73">
        <v>5.4972760000000003</v>
      </c>
    </row>
    <row r="11" spans="1:2" x14ac:dyDescent="0.25">
      <c r="A11" s="55">
        <v>2000</v>
      </c>
      <c r="B11" s="73">
        <v>4.1571689999999997</v>
      </c>
    </row>
    <row r="12" spans="1:2" x14ac:dyDescent="0.25">
      <c r="A12" s="54">
        <v>2001</v>
      </c>
      <c r="B12" s="73">
        <v>4.3950699999999996</v>
      </c>
    </row>
    <row r="13" spans="1:2" x14ac:dyDescent="0.25">
      <c r="A13" s="55">
        <v>2002</v>
      </c>
      <c r="B13" s="73">
        <v>3.5804529999999999</v>
      </c>
    </row>
    <row r="14" spans="1:2" x14ac:dyDescent="0.25">
      <c r="A14" s="54">
        <v>2003</v>
      </c>
      <c r="B14" s="73">
        <v>3.0722160000000001</v>
      </c>
    </row>
    <row r="15" spans="1:2" x14ac:dyDescent="0.25">
      <c r="A15" s="55">
        <v>2004</v>
      </c>
      <c r="B15" s="73">
        <v>4.047784</v>
      </c>
    </row>
    <row r="16" spans="1:2" x14ac:dyDescent="0.25">
      <c r="A16" s="54">
        <v>2005</v>
      </c>
      <c r="B16" s="73">
        <v>4.8815289999999996</v>
      </c>
    </row>
    <row r="17" spans="1:2" x14ac:dyDescent="0.25">
      <c r="A17" s="55">
        <v>2006</v>
      </c>
      <c r="B17" s="73">
        <v>7.2342979999999999</v>
      </c>
    </row>
    <row r="18" spans="1:2" x14ac:dyDescent="0.25">
      <c r="A18" s="54">
        <v>2007</v>
      </c>
      <c r="B18" s="73">
        <v>11.497343000000001</v>
      </c>
    </row>
    <row r="19" spans="1:2" x14ac:dyDescent="0.25">
      <c r="A19" s="55">
        <v>2008</v>
      </c>
      <c r="B19" s="73">
        <v>11.216604</v>
      </c>
    </row>
    <row r="20" spans="1:2" x14ac:dyDescent="0.25">
      <c r="A20" s="54">
        <v>2009</v>
      </c>
      <c r="B20" s="73">
        <v>6.9827849999999998</v>
      </c>
    </row>
    <row r="21" spans="1:2" x14ac:dyDescent="0.25">
      <c r="A21" s="55">
        <v>2010</v>
      </c>
      <c r="B21" s="73">
        <v>7.0415270000000003</v>
      </c>
    </row>
    <row r="22" spans="1:2" x14ac:dyDescent="0.25">
      <c r="A22" s="54">
        <v>2011</v>
      </c>
      <c r="B22" s="73">
        <v>9.4157279999999997</v>
      </c>
    </row>
    <row r="23" spans="1:2" x14ac:dyDescent="0.25">
      <c r="A23" s="55">
        <v>2012</v>
      </c>
      <c r="B23" s="73">
        <v>16.035523999999999</v>
      </c>
    </row>
    <row r="24" spans="1:2" x14ac:dyDescent="0.25">
      <c r="A24" s="54">
        <v>2013</v>
      </c>
      <c r="B24" s="73">
        <v>16.125896000000001</v>
      </c>
    </row>
    <row r="25" spans="1:2" x14ac:dyDescent="0.25">
      <c r="A25" s="55">
        <v>2014</v>
      </c>
      <c r="B25" s="73">
        <v>15.409177</v>
      </c>
    </row>
    <row r="26" spans="1:2" x14ac:dyDescent="0.25">
      <c r="A26" s="54">
        <v>2015</v>
      </c>
      <c r="B26" s="73">
        <v>13.362054000000001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M7" sqref="M7"/>
    </sheetView>
  </sheetViews>
  <sheetFormatPr baseColWidth="10" defaultRowHeight="15" x14ac:dyDescent="0.25"/>
  <cols>
    <col min="2" max="2" width="12.85546875" customWidth="1"/>
  </cols>
  <sheetData>
    <row r="1" spans="1:7" ht="75" x14ac:dyDescent="0.25">
      <c r="A1" s="34" t="s">
        <v>3</v>
      </c>
      <c r="B1" s="34" t="s">
        <v>142</v>
      </c>
    </row>
    <row r="2" spans="1:7" x14ac:dyDescent="0.25">
      <c r="A2" s="54">
        <v>1991</v>
      </c>
      <c r="B2" s="105">
        <f>('Export 06'!B2)-('Import 06'!B2)</f>
        <v>33.097741999999997</v>
      </c>
      <c r="D2" s="128" t="s">
        <v>36</v>
      </c>
      <c r="E2" s="128"/>
      <c r="F2" s="109" t="s">
        <v>10</v>
      </c>
      <c r="G2" s="7" t="s">
        <v>37</v>
      </c>
    </row>
    <row r="3" spans="1:7" x14ac:dyDescent="0.25">
      <c r="A3" s="55">
        <v>1992</v>
      </c>
      <c r="B3" s="105">
        <f>('Export 06'!B3)-('Import 06'!B3)</f>
        <v>29.162423999999998</v>
      </c>
    </row>
    <row r="4" spans="1:7" x14ac:dyDescent="0.25">
      <c r="A4" s="54">
        <v>1993</v>
      </c>
      <c r="B4" s="105">
        <f>('Export 06'!B4)-('Import 06'!B4)</f>
        <v>36.211322000000003</v>
      </c>
    </row>
    <row r="5" spans="1:7" x14ac:dyDescent="0.25">
      <c r="A5" s="55">
        <v>1994</v>
      </c>
      <c r="B5" s="105">
        <f>('Export 06'!B5)-('Import 06'!B5)</f>
        <v>42.979393999999999</v>
      </c>
    </row>
    <row r="6" spans="1:7" x14ac:dyDescent="0.25">
      <c r="A6" s="54">
        <v>1995</v>
      </c>
      <c r="B6" s="105">
        <f>('Export 06'!B6)-('Import 06'!B6)</f>
        <v>37.298679999999997</v>
      </c>
    </row>
    <row r="7" spans="1:7" x14ac:dyDescent="0.25">
      <c r="A7" s="55">
        <v>1996</v>
      </c>
      <c r="B7" s="105">
        <f>('Export 06'!B7)-('Import 06'!B7)</f>
        <v>55.851317000000002</v>
      </c>
    </row>
    <row r="8" spans="1:7" x14ac:dyDescent="0.25">
      <c r="A8" s="54">
        <v>1997</v>
      </c>
      <c r="B8" s="105">
        <f>('Export 06'!B8)-('Import 06'!B8)</f>
        <v>47.290410000000001</v>
      </c>
    </row>
    <row r="9" spans="1:7" x14ac:dyDescent="0.25">
      <c r="A9" s="55">
        <v>1998</v>
      </c>
      <c r="B9" s="105">
        <f>('Export 06'!B9)-('Import 06'!B9)</f>
        <v>61.172373</v>
      </c>
    </row>
    <row r="10" spans="1:7" x14ac:dyDescent="0.25">
      <c r="A10" s="54">
        <v>1999</v>
      </c>
      <c r="B10" s="105">
        <f>('Export 06'!B10)-('Import 06'!B10)</f>
        <v>30.501275999999997</v>
      </c>
    </row>
    <row r="11" spans="1:7" x14ac:dyDescent="0.25">
      <c r="A11" s="55">
        <v>2000</v>
      </c>
      <c r="B11" s="105">
        <f>('Export 06'!B11)-('Import 06'!B11)</f>
        <v>27.018269</v>
      </c>
    </row>
    <row r="12" spans="1:7" x14ac:dyDescent="0.25">
      <c r="A12" s="54">
        <v>2001</v>
      </c>
      <c r="B12" s="105">
        <f>('Export 06'!B12)-('Import 06'!B12)</f>
        <v>29.995757000000001</v>
      </c>
    </row>
    <row r="13" spans="1:7" x14ac:dyDescent="0.25">
      <c r="A13" s="55">
        <v>2002</v>
      </c>
      <c r="B13" s="105">
        <f>('Export 06'!B13)-('Import 06'!B13)</f>
        <v>31.774213000000003</v>
      </c>
    </row>
    <row r="14" spans="1:7" x14ac:dyDescent="0.25">
      <c r="A14" s="54">
        <v>2003</v>
      </c>
      <c r="B14" s="105">
        <f>('Export 06'!B14)-('Import 06'!B14)</f>
        <v>53.366145000000003</v>
      </c>
    </row>
    <row r="15" spans="1:7" x14ac:dyDescent="0.25">
      <c r="A15" s="55">
        <v>2004</v>
      </c>
      <c r="B15" s="105">
        <f>('Export 06'!B15)-('Import 06'!B15)</f>
        <v>46.517001</v>
      </c>
    </row>
    <row r="16" spans="1:7" x14ac:dyDescent="0.25">
      <c r="A16" s="54">
        <v>2005</v>
      </c>
      <c r="B16" s="105">
        <f>('Export 06'!B16)-('Import 06'!B16)</f>
        <v>53.184724000000003</v>
      </c>
    </row>
    <row r="17" spans="1:2" x14ac:dyDescent="0.25">
      <c r="A17" s="55">
        <v>2006</v>
      </c>
      <c r="B17" s="105">
        <f>('Export 06'!B17)-('Import 06'!B17)</f>
        <v>67.058784000000003</v>
      </c>
    </row>
    <row r="18" spans="1:2" x14ac:dyDescent="0.25">
      <c r="A18" s="54">
        <v>2007</v>
      </c>
      <c r="B18" s="105">
        <f>('Export 06'!B18)-('Import 06'!B18)</f>
        <v>20.003582999999999</v>
      </c>
    </row>
    <row r="19" spans="1:2" x14ac:dyDescent="0.25">
      <c r="A19" s="55">
        <v>2008</v>
      </c>
      <c r="B19" s="105">
        <f>('Export 06'!B19)-('Import 06'!B19)</f>
        <v>27.489628</v>
      </c>
    </row>
    <row r="20" spans="1:2" x14ac:dyDescent="0.25">
      <c r="A20" s="54">
        <v>2009</v>
      </c>
      <c r="B20" s="105">
        <f>('Export 06'!B20)-('Import 06'!B20)</f>
        <v>53.277661999999999</v>
      </c>
    </row>
    <row r="21" spans="1:2" x14ac:dyDescent="0.25">
      <c r="A21" s="55">
        <v>2010</v>
      </c>
      <c r="B21" s="105">
        <f>('Export 06'!B21)-('Import 06'!B21)</f>
        <v>80.021263000000005</v>
      </c>
    </row>
    <row r="22" spans="1:2" x14ac:dyDescent="0.25">
      <c r="A22" s="54">
        <v>2011</v>
      </c>
      <c r="B22" s="105">
        <f>('Export 06'!B22)-('Import 06'!B22)</f>
        <v>56.687427999999997</v>
      </c>
    </row>
    <row r="23" spans="1:2" x14ac:dyDescent="0.25">
      <c r="A23" s="55">
        <v>2012</v>
      </c>
      <c r="B23" s="105">
        <f>('Export 06'!B23)-('Import 06'!B23)</f>
        <v>72.973606000000004</v>
      </c>
    </row>
    <row r="24" spans="1:2" x14ac:dyDescent="0.25">
      <c r="A24" s="54">
        <v>2013</v>
      </c>
      <c r="B24" s="105">
        <f>('Export 06'!B24)-('Import 06'!B24)</f>
        <v>39.112250000000003</v>
      </c>
    </row>
    <row r="25" spans="1:2" x14ac:dyDescent="0.25">
      <c r="A25" s="55">
        <v>2014</v>
      </c>
      <c r="B25" s="105">
        <f>('Export 06'!B25)-('Import 06'!B25)</f>
        <v>82.094502000000006</v>
      </c>
    </row>
    <row r="26" spans="1:2" x14ac:dyDescent="0.25">
      <c r="A26" s="54">
        <v>2015</v>
      </c>
      <c r="B26" s="105">
        <f>('Export 06'!B26)-('Import 06'!B26)</f>
        <v>68.128354999999999</v>
      </c>
    </row>
    <row r="27" spans="1:2" x14ac:dyDescent="0.25">
      <c r="A27" t="s">
        <v>117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240" zoomScale="110" zoomScaleNormal="110" workbookViewId="0">
      <selection activeCell="E213" sqref="E213:E237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4.28515625" bestFit="1" customWidth="1"/>
    <col min="6" max="6" width="13.28515625" customWidth="1"/>
    <col min="7" max="8" width="12.5703125" customWidth="1"/>
    <col min="9" max="9" width="3.7109375" customWidth="1"/>
    <col min="11" max="11" width="12.28515625" bestFit="1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109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13</v>
      </c>
      <c r="C6" s="13" t="s">
        <v>9</v>
      </c>
      <c r="D6" s="14" t="s">
        <v>4</v>
      </c>
    </row>
    <row r="7" spans="1:10" x14ac:dyDescent="0.25">
      <c r="A7" s="10">
        <v>1991</v>
      </c>
      <c r="B7" s="93">
        <f>'Export 06'!B2</f>
        <v>34.710495999999999</v>
      </c>
      <c r="C7" s="5">
        <v>41239.551378248201</v>
      </c>
      <c r="D7" s="19">
        <f t="shared" ref="D7:D31" si="0">B7/(C7*100)</f>
        <v>8.4167976711570257E-6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93">
        <f>'Export 06'!B3</f>
        <v>31.046907999999998</v>
      </c>
      <c r="C8" s="5">
        <v>49279.585355094838</v>
      </c>
      <c r="D8" s="19">
        <f t="shared" si="0"/>
        <v>6.3001560943105964E-6</v>
      </c>
    </row>
    <row r="9" spans="1:10" x14ac:dyDescent="0.25">
      <c r="A9" s="10">
        <v>1993</v>
      </c>
      <c r="B9" s="93">
        <f>'Export 06'!B4</f>
        <v>38.090372000000002</v>
      </c>
      <c r="C9" s="5">
        <v>55802.540100979531</v>
      </c>
      <c r="D9" s="19">
        <f t="shared" si="0"/>
        <v>6.8259208149077394E-6</v>
      </c>
    </row>
    <row r="10" spans="1:10" x14ac:dyDescent="0.25">
      <c r="A10" s="10">
        <v>1994</v>
      </c>
      <c r="B10" s="93">
        <f>'Export 06'!B5</f>
        <v>47.060023999999999</v>
      </c>
      <c r="C10" s="5">
        <v>81703.496603993364</v>
      </c>
      <c r="D10" s="19">
        <f t="shared" si="0"/>
        <v>5.7598543460256116E-6</v>
      </c>
    </row>
    <row r="11" spans="1:10" x14ac:dyDescent="0.25">
      <c r="A11" s="10">
        <v>1995</v>
      </c>
      <c r="B11" s="93">
        <f>'Export 06'!B6</f>
        <v>41.068123999999997</v>
      </c>
      <c r="C11" s="5">
        <v>92507.277798198498</v>
      </c>
      <c r="D11" s="19">
        <f t="shared" si="0"/>
        <v>4.4394478983144137E-6</v>
      </c>
    </row>
    <row r="12" spans="1:10" x14ac:dyDescent="0.25">
      <c r="A12" s="10">
        <v>1996</v>
      </c>
      <c r="B12" s="93">
        <f>'Export 06'!B7</f>
        <v>60.505304000000002</v>
      </c>
      <c r="C12" s="5">
        <v>97160.111573336981</v>
      </c>
      <c r="D12" s="19">
        <f t="shared" si="0"/>
        <v>6.2273810744165594E-6</v>
      </c>
    </row>
    <row r="13" spans="1:10" x14ac:dyDescent="0.25">
      <c r="A13" s="10">
        <v>1997</v>
      </c>
      <c r="B13" s="93">
        <f>'Export 06'!B8</f>
        <v>51.986088000000002</v>
      </c>
      <c r="C13" s="5">
        <v>106659.5079635281</v>
      </c>
      <c r="D13" s="19">
        <f t="shared" si="0"/>
        <v>4.8740228595257062E-6</v>
      </c>
    </row>
    <row r="14" spans="1:10" x14ac:dyDescent="0.25">
      <c r="A14" s="10">
        <v>1998</v>
      </c>
      <c r="B14" s="93">
        <f>'Export 06'!B9</f>
        <v>66.543272000000002</v>
      </c>
      <c r="C14" s="5">
        <v>98443.743190849113</v>
      </c>
      <c r="D14" s="19">
        <f t="shared" si="0"/>
        <v>6.7595227327952285E-6</v>
      </c>
    </row>
    <row r="15" spans="1:10" x14ac:dyDescent="0.25">
      <c r="A15" s="10">
        <v>1999</v>
      </c>
      <c r="B15" s="93">
        <f>'Export 06'!B10</f>
        <v>35.998551999999997</v>
      </c>
      <c r="C15" s="5">
        <v>86186.156584381664</v>
      </c>
      <c r="D15" s="19">
        <f t="shared" si="0"/>
        <v>4.1768369105489873E-6</v>
      </c>
    </row>
    <row r="16" spans="1:10" x14ac:dyDescent="0.25">
      <c r="A16" s="10">
        <v>2000</v>
      </c>
      <c r="B16" s="93">
        <f>'Export 06'!B11</f>
        <v>31.175438</v>
      </c>
      <c r="C16" s="5">
        <v>99886.577575544405</v>
      </c>
      <c r="D16" s="19">
        <f t="shared" si="0"/>
        <v>3.1210838089253744E-6</v>
      </c>
    </row>
    <row r="17" spans="1:4" x14ac:dyDescent="0.25">
      <c r="A17" s="10">
        <v>2001</v>
      </c>
      <c r="B17" s="93">
        <f>'Export 06'!B12</f>
        <v>34.390827000000002</v>
      </c>
      <c r="C17" s="5">
        <v>98203.544965267793</v>
      </c>
      <c r="D17" s="19">
        <f t="shared" si="0"/>
        <v>3.5019944557157483E-6</v>
      </c>
    </row>
    <row r="18" spans="1:4" x14ac:dyDescent="0.25">
      <c r="A18" s="10">
        <v>2002</v>
      </c>
      <c r="B18" s="93">
        <f>'Export 06'!B13</f>
        <v>35.354666000000002</v>
      </c>
      <c r="C18" s="5">
        <v>97933.392356425262</v>
      </c>
      <c r="D18" s="19">
        <f t="shared" si="0"/>
        <v>3.6100726370559996E-6</v>
      </c>
    </row>
    <row r="19" spans="1:4" x14ac:dyDescent="0.25">
      <c r="A19" s="10">
        <v>2003</v>
      </c>
      <c r="B19" s="93">
        <f>'Export 06'!B14</f>
        <v>56.438361</v>
      </c>
      <c r="C19" s="5">
        <v>94684.582573316715</v>
      </c>
      <c r="D19" s="19">
        <f t="shared" si="0"/>
        <v>5.9606706251567748E-6</v>
      </c>
    </row>
    <row r="20" spans="1:4" x14ac:dyDescent="0.25">
      <c r="A20" s="10">
        <v>2004</v>
      </c>
      <c r="B20" s="93">
        <f>'Export 06'!B15</f>
        <v>50.564785000000001</v>
      </c>
      <c r="C20" s="5">
        <v>117074.86551527939</v>
      </c>
      <c r="D20" s="19">
        <f t="shared" si="0"/>
        <v>4.3190128621929362E-6</v>
      </c>
    </row>
    <row r="21" spans="1:4" x14ac:dyDescent="0.25">
      <c r="A21" s="10">
        <v>2005</v>
      </c>
      <c r="B21" s="93">
        <f>'Export 06'!B16</f>
        <v>58.066253000000003</v>
      </c>
      <c r="C21" s="5">
        <v>146566.26631057015</v>
      </c>
      <c r="D21" s="19">
        <f t="shared" si="0"/>
        <v>3.9617747290470722E-6</v>
      </c>
    </row>
    <row r="22" spans="1:4" x14ac:dyDescent="0.25">
      <c r="A22" s="10">
        <v>2006</v>
      </c>
      <c r="B22" s="93">
        <f>'Export 06'!B17</f>
        <v>74.293081999999998</v>
      </c>
      <c r="C22" s="5">
        <v>162590.1460964143</v>
      </c>
      <c r="D22" s="19">
        <f t="shared" si="0"/>
        <v>4.569347145794737E-6</v>
      </c>
    </row>
    <row r="23" spans="1:4" x14ac:dyDescent="0.25">
      <c r="A23" s="10">
        <v>2007</v>
      </c>
      <c r="B23" s="93">
        <f>'Export 06'!B18</f>
        <v>31.500926</v>
      </c>
      <c r="C23" s="5">
        <v>207416.49464237894</v>
      </c>
      <c r="D23" s="19">
        <f t="shared" si="0"/>
        <v>1.5187281057040768E-6</v>
      </c>
    </row>
    <row r="24" spans="1:4" x14ac:dyDescent="0.25">
      <c r="A24" s="10">
        <v>2008</v>
      </c>
      <c r="B24" s="93">
        <f>'Export 06'!B19</f>
        <v>38.706232</v>
      </c>
      <c r="C24" s="5">
        <v>243982.43787084011</v>
      </c>
      <c r="D24" s="19">
        <f t="shared" si="0"/>
        <v>1.5864351687677776E-6</v>
      </c>
    </row>
    <row r="25" spans="1:4" x14ac:dyDescent="0.25">
      <c r="A25" s="10">
        <v>2009</v>
      </c>
      <c r="B25" s="93">
        <f>'Export 06'!B20</f>
        <v>60.260446999999999</v>
      </c>
      <c r="C25" s="5">
        <v>233821.6705442575</v>
      </c>
      <c r="D25" s="19">
        <f t="shared" si="0"/>
        <v>2.5771968380746802E-6</v>
      </c>
    </row>
    <row r="26" spans="1:4" x14ac:dyDescent="0.25">
      <c r="A26" s="10">
        <v>2010</v>
      </c>
      <c r="B26" s="93">
        <f>'Export 06'!B21</f>
        <v>87.062790000000007</v>
      </c>
      <c r="C26" s="5">
        <v>287018.18463752925</v>
      </c>
      <c r="D26" s="19">
        <f t="shared" si="0"/>
        <v>3.033354493198758E-6</v>
      </c>
    </row>
    <row r="27" spans="1:4" x14ac:dyDescent="0.25">
      <c r="A27" s="10">
        <v>2011</v>
      </c>
      <c r="B27" s="93">
        <f>'Export 06'!B22</f>
        <v>66.103155999999998</v>
      </c>
      <c r="C27" s="5">
        <v>335415.15670218616</v>
      </c>
      <c r="D27" s="19">
        <f t="shared" si="0"/>
        <v>1.9707861937405749E-6</v>
      </c>
    </row>
    <row r="28" spans="1:4" x14ac:dyDescent="0.25">
      <c r="A28" s="10">
        <v>2012</v>
      </c>
      <c r="B28" s="93">
        <f>'Export 06'!B23</f>
        <v>89.009129999999999</v>
      </c>
      <c r="C28" s="5">
        <v>369659.70037551981</v>
      </c>
      <c r="D28" s="19">
        <f t="shared" si="0"/>
        <v>2.4078667463502195E-6</v>
      </c>
    </row>
    <row r="29" spans="1:4" x14ac:dyDescent="0.25">
      <c r="A29" s="10">
        <v>2013</v>
      </c>
      <c r="B29" s="93">
        <f>'Export 06'!B24</f>
        <v>55.238146</v>
      </c>
      <c r="C29" s="5">
        <v>380191.88186037214</v>
      </c>
      <c r="D29" s="19">
        <f t="shared" si="0"/>
        <v>1.4529017750117704E-6</v>
      </c>
    </row>
    <row r="30" spans="1:4" x14ac:dyDescent="0.25">
      <c r="A30" s="10">
        <v>2014</v>
      </c>
      <c r="B30" s="93">
        <f>'Export 06'!B25</f>
        <v>97.503679000000005</v>
      </c>
      <c r="C30" s="5">
        <v>378416.02053371473</v>
      </c>
      <c r="D30" s="19">
        <f t="shared" si="0"/>
        <v>2.5766266148690442E-6</v>
      </c>
    </row>
    <row r="31" spans="1:4" x14ac:dyDescent="0.25">
      <c r="A31" s="11">
        <v>2015</v>
      </c>
      <c r="B31" s="93">
        <f>'Export 06'!B26</f>
        <v>81.490409</v>
      </c>
      <c r="C31" s="6">
        <v>292080.15563330991</v>
      </c>
      <c r="D31" s="19">
        <f t="shared" si="0"/>
        <v>2.7900015604725501E-6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41</v>
      </c>
      <c r="C35" s="13" t="s">
        <v>9</v>
      </c>
      <c r="D35" s="14" t="s">
        <v>40</v>
      </c>
    </row>
    <row r="36" spans="1:10" x14ac:dyDescent="0.25">
      <c r="A36" s="10">
        <v>1991</v>
      </c>
      <c r="B36" s="93">
        <f>'Import 06'!B2</f>
        <v>1.612754</v>
      </c>
      <c r="C36" s="5">
        <v>41239.551378248172</v>
      </c>
      <c r="D36" s="75">
        <f t="shared" ref="D36:D60" si="1">(B36/C36)/100</f>
        <v>3.9106972459711288E-7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93">
        <f>'Import 06'!B3</f>
        <v>1.884484</v>
      </c>
      <c r="C37" s="5">
        <v>49279.585355094838</v>
      </c>
      <c r="D37" s="75">
        <f t="shared" si="1"/>
        <v>3.8240662668343048E-7</v>
      </c>
    </row>
    <row r="38" spans="1:10" x14ac:dyDescent="0.25">
      <c r="A38" s="10">
        <v>1993</v>
      </c>
      <c r="B38" s="93">
        <f>'Import 06'!B4</f>
        <v>1.8790500000000001</v>
      </c>
      <c r="C38" s="5">
        <v>55802.540100979531</v>
      </c>
      <c r="D38" s="75">
        <f t="shared" si="1"/>
        <v>3.3673198327525883E-7</v>
      </c>
    </row>
    <row r="39" spans="1:10" x14ac:dyDescent="0.25">
      <c r="A39" s="10">
        <v>1994</v>
      </c>
      <c r="B39" s="93">
        <f>'Import 06'!B5</f>
        <v>4.0806300000000002</v>
      </c>
      <c r="C39" s="5">
        <v>81703.496603993364</v>
      </c>
      <c r="D39" s="75">
        <f t="shared" si="1"/>
        <v>4.9944374104064402E-7</v>
      </c>
    </row>
    <row r="40" spans="1:10" x14ac:dyDescent="0.25">
      <c r="A40" s="10">
        <v>1995</v>
      </c>
      <c r="B40" s="93">
        <f>'Import 06'!B6</f>
        <v>3.769444</v>
      </c>
      <c r="C40" s="5">
        <v>92507.277798198498</v>
      </c>
      <c r="D40" s="75">
        <f t="shared" si="1"/>
        <v>4.0747539974345747E-7</v>
      </c>
    </row>
    <row r="41" spans="1:10" x14ac:dyDescent="0.25">
      <c r="A41" s="10">
        <v>1996</v>
      </c>
      <c r="B41" s="93">
        <f>'Import 06'!B7</f>
        <v>4.6539869999999999</v>
      </c>
      <c r="C41" s="5">
        <v>97160.111573336981</v>
      </c>
      <c r="D41" s="75">
        <f t="shared" si="1"/>
        <v>4.7900181716929638E-7</v>
      </c>
    </row>
    <row r="42" spans="1:10" x14ac:dyDescent="0.25">
      <c r="A42" s="10">
        <v>1997</v>
      </c>
      <c r="B42" s="93">
        <f>'Import 06'!B8</f>
        <v>4.695678</v>
      </c>
      <c r="C42" s="5">
        <v>106659.5079635281</v>
      </c>
      <c r="D42" s="75">
        <f t="shared" si="1"/>
        <v>4.4024935888563006E-7</v>
      </c>
    </row>
    <row r="43" spans="1:10" x14ac:dyDescent="0.25">
      <c r="A43" s="10">
        <v>1998</v>
      </c>
      <c r="B43" s="93">
        <f>'Import 06'!B9</f>
        <v>5.3708989999999996</v>
      </c>
      <c r="C43" s="5">
        <v>98443.743190849113</v>
      </c>
      <c r="D43" s="75">
        <f t="shared" si="1"/>
        <v>5.4558053421309297E-7</v>
      </c>
    </row>
    <row r="44" spans="1:10" x14ac:dyDescent="0.25">
      <c r="A44" s="10">
        <v>1999</v>
      </c>
      <c r="B44" s="93">
        <f>'Import 06'!B10</f>
        <v>5.4972760000000003</v>
      </c>
      <c r="C44" s="5">
        <v>86186.156584381664</v>
      </c>
      <c r="D44" s="75">
        <f t="shared" si="1"/>
        <v>6.3783746924807131E-7</v>
      </c>
    </row>
    <row r="45" spans="1:10" x14ac:dyDescent="0.25">
      <c r="A45" s="10">
        <v>2000</v>
      </c>
      <c r="B45" s="93">
        <f>'Import 06'!B11</f>
        <v>4.1571689999999997</v>
      </c>
      <c r="C45" s="5">
        <v>99886.577575544405</v>
      </c>
      <c r="D45" s="75">
        <f t="shared" si="1"/>
        <v>4.1618895159922009E-7</v>
      </c>
    </row>
    <row r="46" spans="1:10" x14ac:dyDescent="0.25">
      <c r="A46" s="10">
        <v>2001</v>
      </c>
      <c r="B46" s="93">
        <f>'Import 06'!B12</f>
        <v>4.3950699999999996</v>
      </c>
      <c r="C46" s="5">
        <v>98203.544965267793</v>
      </c>
      <c r="D46" s="75">
        <f t="shared" si="1"/>
        <v>4.475469802596667E-7</v>
      </c>
    </row>
    <row r="47" spans="1:10" x14ac:dyDescent="0.25">
      <c r="A47" s="10">
        <v>2002</v>
      </c>
      <c r="B47" s="93">
        <f>'Import 06'!B13</f>
        <v>3.5804529999999999</v>
      </c>
      <c r="C47" s="5">
        <v>97933.392356425262</v>
      </c>
      <c r="D47" s="75">
        <f t="shared" si="1"/>
        <v>3.6560083479688553E-7</v>
      </c>
    </row>
    <row r="48" spans="1:10" x14ac:dyDescent="0.25">
      <c r="A48" s="10">
        <v>2003</v>
      </c>
      <c r="B48" s="93">
        <f>'Import 06'!B14</f>
        <v>3.0722160000000001</v>
      </c>
      <c r="C48" s="5">
        <v>94684.582573316715</v>
      </c>
      <c r="D48" s="75">
        <f t="shared" si="1"/>
        <v>3.2446845267772116E-7</v>
      </c>
    </row>
    <row r="49" spans="1:10" x14ac:dyDescent="0.25">
      <c r="A49" s="10">
        <v>2004</v>
      </c>
      <c r="B49" s="93">
        <f>'Import 06'!B15</f>
        <v>4.047784</v>
      </c>
      <c r="C49" s="5">
        <v>117074.86551527939</v>
      </c>
      <c r="D49" s="75">
        <f t="shared" si="1"/>
        <v>3.4574321159239136E-7</v>
      </c>
    </row>
    <row r="50" spans="1:10" x14ac:dyDescent="0.25">
      <c r="A50" s="10">
        <v>2005</v>
      </c>
      <c r="B50" s="93">
        <f>'Import 06'!B16</f>
        <v>4.8815289999999996</v>
      </c>
      <c r="C50" s="5">
        <v>146566.26631057015</v>
      </c>
      <c r="D50" s="75">
        <f t="shared" si="1"/>
        <v>3.3305951791499997E-7</v>
      </c>
    </row>
    <row r="51" spans="1:10" x14ac:dyDescent="0.25">
      <c r="A51" s="10">
        <v>2006</v>
      </c>
      <c r="B51" s="93">
        <f>'Import 06'!B17</f>
        <v>7.2342979999999999</v>
      </c>
      <c r="C51" s="5">
        <v>162590.1460964143</v>
      </c>
      <c r="D51" s="75">
        <f t="shared" si="1"/>
        <v>4.4494074048682715E-7</v>
      </c>
    </row>
    <row r="52" spans="1:10" x14ac:dyDescent="0.25">
      <c r="A52" s="10">
        <v>2007</v>
      </c>
      <c r="B52" s="93">
        <f>'Import 06'!B18</f>
        <v>11.497343000000001</v>
      </c>
      <c r="C52" s="5">
        <v>207416.49464237894</v>
      </c>
      <c r="D52" s="75">
        <f t="shared" si="1"/>
        <v>5.5431189403829053E-7</v>
      </c>
    </row>
    <row r="53" spans="1:10" x14ac:dyDescent="0.25">
      <c r="A53" s="10">
        <v>2008</v>
      </c>
      <c r="B53" s="93">
        <f>'Import 06'!B19</f>
        <v>11.216604</v>
      </c>
      <c r="C53" s="5">
        <v>243982.43787084011</v>
      </c>
      <c r="D53" s="75">
        <f t="shared" si="1"/>
        <v>4.5972997474260285E-7</v>
      </c>
    </row>
    <row r="54" spans="1:10" x14ac:dyDescent="0.25">
      <c r="A54" s="10">
        <v>2009</v>
      </c>
      <c r="B54" s="93">
        <f>'Import 06'!B20</f>
        <v>6.9827849999999998</v>
      </c>
      <c r="C54" s="5">
        <v>233821.6705442575</v>
      </c>
      <c r="D54" s="75">
        <f t="shared" si="1"/>
        <v>2.9863720431671049E-7</v>
      </c>
    </row>
    <row r="55" spans="1:10" x14ac:dyDescent="0.25">
      <c r="A55" s="10">
        <v>2010</v>
      </c>
      <c r="B55" s="93">
        <f>'Import 06'!B21</f>
        <v>7.0415270000000003</v>
      </c>
      <c r="C55" s="5">
        <v>287018.18463752925</v>
      </c>
      <c r="D55" s="75">
        <f t="shared" si="1"/>
        <v>2.4533382819951406E-7</v>
      </c>
    </row>
    <row r="56" spans="1:10" x14ac:dyDescent="0.25">
      <c r="A56" s="10">
        <v>2011</v>
      </c>
      <c r="B56" s="93">
        <f>'Import 06'!B22</f>
        <v>9.4157279999999997</v>
      </c>
      <c r="C56" s="5">
        <v>335415.15670218616</v>
      </c>
      <c r="D56" s="75">
        <f t="shared" si="1"/>
        <v>2.8071862024888127E-7</v>
      </c>
    </row>
    <row r="57" spans="1:10" x14ac:dyDescent="0.25">
      <c r="A57" s="10">
        <v>2012</v>
      </c>
      <c r="B57" s="93">
        <f>'Import 06'!B23</f>
        <v>16.035523999999999</v>
      </c>
      <c r="C57" s="5">
        <v>369659.70037551981</v>
      </c>
      <c r="D57" s="75">
        <f t="shared" si="1"/>
        <v>4.3379151104949414E-7</v>
      </c>
    </row>
    <row r="58" spans="1:10" x14ac:dyDescent="0.25">
      <c r="A58" s="10">
        <v>2013</v>
      </c>
      <c r="B58" s="93">
        <f>'Import 06'!B24</f>
        <v>16.125896000000001</v>
      </c>
      <c r="C58" s="5">
        <v>380191.88186037214</v>
      </c>
      <c r="D58" s="75">
        <f t="shared" si="1"/>
        <v>4.2415150794625164E-7</v>
      </c>
    </row>
    <row r="59" spans="1:10" x14ac:dyDescent="0.25">
      <c r="A59" s="10">
        <v>2014</v>
      </c>
      <c r="B59" s="93">
        <f>'Import 06'!B25</f>
        <v>15.409177</v>
      </c>
      <c r="C59" s="5">
        <v>378416.02053371473</v>
      </c>
      <c r="D59" s="75">
        <f t="shared" si="1"/>
        <v>4.0720202538642599E-7</v>
      </c>
    </row>
    <row r="60" spans="1:10" x14ac:dyDescent="0.25">
      <c r="A60" s="11">
        <v>2015</v>
      </c>
      <c r="B60" s="93">
        <f>'Import 06'!B26</f>
        <v>13.362054000000001</v>
      </c>
      <c r="C60" s="6">
        <v>292080.15563330991</v>
      </c>
      <c r="D60" s="75">
        <f t="shared" si="1"/>
        <v>4.5747900849434298E-7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109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8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93">
        <f>'Import 06'!B2</f>
        <v>1.612754</v>
      </c>
      <c r="C66" s="5">
        <v>6174.0429999999997</v>
      </c>
      <c r="D66" s="75">
        <f t="shared" ref="D66:D90" si="2">(B66/C66)/10000</f>
        <v>2.6121521991343439E-8</v>
      </c>
      <c r="E66" s="1"/>
    </row>
    <row r="67" spans="1:5" x14ac:dyDescent="0.25">
      <c r="A67" s="10">
        <v>1992</v>
      </c>
      <c r="B67" s="93">
        <f>'Import 06'!B3</f>
        <v>1.884484</v>
      </c>
      <c r="C67" s="5">
        <v>6539.299</v>
      </c>
      <c r="D67" s="75">
        <f t="shared" si="2"/>
        <v>2.8817828944662112E-8</v>
      </c>
      <c r="E67" s="1"/>
    </row>
    <row r="68" spans="1:5" x14ac:dyDescent="0.25">
      <c r="A68" s="10">
        <v>1993</v>
      </c>
      <c r="B68" s="93">
        <f>'Import 06'!B4</f>
        <v>1.8790500000000001</v>
      </c>
      <c r="C68" s="5">
        <v>6878.7179999999998</v>
      </c>
      <c r="D68" s="75">
        <f t="shared" si="2"/>
        <v>2.7316863403907534E-8</v>
      </c>
      <c r="E68" s="1"/>
    </row>
    <row r="69" spans="1:5" x14ac:dyDescent="0.25">
      <c r="A69" s="10">
        <v>1994</v>
      </c>
      <c r="B69" s="93">
        <f>'Import 06'!B5</f>
        <v>4.0806300000000002</v>
      </c>
      <c r="C69" s="5">
        <v>7308.7550000000001</v>
      </c>
      <c r="D69" s="75">
        <f t="shared" si="2"/>
        <v>5.5832080840033628E-8</v>
      </c>
      <c r="E69" s="1"/>
    </row>
    <row r="70" spans="1:5" x14ac:dyDescent="0.25">
      <c r="A70" s="10">
        <v>1995</v>
      </c>
      <c r="B70" s="93">
        <f>'Import 06'!B6</f>
        <v>3.769444</v>
      </c>
      <c r="C70" s="5">
        <v>7664.06</v>
      </c>
      <c r="D70" s="75">
        <f t="shared" si="2"/>
        <v>4.9183383219859965E-8</v>
      </c>
      <c r="E70" s="1"/>
    </row>
    <row r="71" spans="1:5" x14ac:dyDescent="0.25">
      <c r="A71" s="10">
        <v>1996</v>
      </c>
      <c r="B71" s="93">
        <f>'Import 06'!B7</f>
        <v>4.6539869999999999</v>
      </c>
      <c r="C71" s="5">
        <v>8100.201</v>
      </c>
      <c r="D71" s="75">
        <f t="shared" si="2"/>
        <v>5.7455203889384961E-8</v>
      </c>
      <c r="E71" s="1"/>
    </row>
    <row r="72" spans="1:5" x14ac:dyDescent="0.25">
      <c r="A72" s="10">
        <v>1997</v>
      </c>
      <c r="B72" s="93">
        <f>'Import 06'!B8</f>
        <v>4.695678</v>
      </c>
      <c r="C72" s="5">
        <v>8608.5149999999994</v>
      </c>
      <c r="D72" s="75">
        <f t="shared" si="2"/>
        <v>5.4546899203869663E-8</v>
      </c>
      <c r="E72" s="1"/>
    </row>
    <row r="73" spans="1:5" x14ac:dyDescent="0.25">
      <c r="A73" s="10">
        <v>1998</v>
      </c>
      <c r="B73" s="93">
        <f>'Import 06'!B9</f>
        <v>5.3708989999999996</v>
      </c>
      <c r="C73" s="5">
        <v>9089.1679999999997</v>
      </c>
      <c r="D73" s="75">
        <f t="shared" si="2"/>
        <v>5.9091206147801428E-8</v>
      </c>
      <c r="E73" s="1"/>
    </row>
    <row r="74" spans="1:5" x14ac:dyDescent="0.25">
      <c r="A74" s="10">
        <v>1999</v>
      </c>
      <c r="B74" s="93">
        <f>'Import 06'!B10</f>
        <v>5.4972760000000003</v>
      </c>
      <c r="C74" s="5">
        <v>9660.6239999999998</v>
      </c>
      <c r="D74" s="75">
        <f t="shared" si="2"/>
        <v>5.6903943264948514E-8</v>
      </c>
      <c r="E74" s="1"/>
    </row>
    <row r="75" spans="1:5" x14ac:dyDescent="0.25">
      <c r="A75" s="10">
        <v>2000</v>
      </c>
      <c r="B75" s="93">
        <f>'Import 06'!B11</f>
        <v>4.1571689999999997</v>
      </c>
      <c r="C75" s="5">
        <v>10284.779</v>
      </c>
      <c r="D75" s="75">
        <f t="shared" si="2"/>
        <v>4.0420596300610827E-8</v>
      </c>
      <c r="E75" s="1"/>
    </row>
    <row r="76" spans="1:5" x14ac:dyDescent="0.25">
      <c r="A76" s="10">
        <v>2001</v>
      </c>
      <c r="B76" s="93">
        <f>'Import 06'!B12</f>
        <v>4.3950699999999996</v>
      </c>
      <c r="C76" s="5">
        <v>10621.824000000001</v>
      </c>
      <c r="D76" s="75">
        <f t="shared" si="2"/>
        <v>4.1377733240543241E-8</v>
      </c>
      <c r="E76" s="1"/>
    </row>
    <row r="77" spans="1:5" x14ac:dyDescent="0.25">
      <c r="A77" s="10">
        <v>2002</v>
      </c>
      <c r="B77" s="93">
        <f>'Import 06'!B13</f>
        <v>3.5804529999999999</v>
      </c>
      <c r="C77" s="5">
        <v>10977.513999999999</v>
      </c>
      <c r="D77" s="75">
        <f t="shared" si="2"/>
        <v>3.2616246264864706E-8</v>
      </c>
      <c r="E77" s="1"/>
    </row>
    <row r="78" spans="1:5" x14ac:dyDescent="0.25">
      <c r="A78" s="10">
        <v>2003</v>
      </c>
      <c r="B78" s="93">
        <f>'Import 06'!B14</f>
        <v>3.0722160000000001</v>
      </c>
      <c r="C78" s="5">
        <v>11510.67</v>
      </c>
      <c r="D78" s="75">
        <f t="shared" si="2"/>
        <v>2.6690157914352509E-8</v>
      </c>
      <c r="E78" s="1"/>
    </row>
    <row r="79" spans="1:5" x14ac:dyDescent="0.25">
      <c r="A79" s="10">
        <v>2004</v>
      </c>
      <c r="B79" s="93">
        <f>'Import 06'!B15</f>
        <v>4.047784</v>
      </c>
      <c r="C79" s="5">
        <v>12274.928</v>
      </c>
      <c r="D79" s="75">
        <f t="shared" si="2"/>
        <v>3.2976030490769473E-8</v>
      </c>
      <c r="E79" s="1"/>
    </row>
    <row r="80" spans="1:5" x14ac:dyDescent="0.25">
      <c r="A80" s="10">
        <v>2005</v>
      </c>
      <c r="B80" s="93">
        <f>'Import 06'!B16</f>
        <v>4.8815289999999996</v>
      </c>
      <c r="C80" s="5">
        <v>13093.726000000001</v>
      </c>
      <c r="D80" s="75">
        <f t="shared" si="2"/>
        <v>3.7281435398907842E-8</v>
      </c>
      <c r="E80" s="1"/>
    </row>
    <row r="81" spans="1:10" x14ac:dyDescent="0.25">
      <c r="A81" s="10">
        <v>2006</v>
      </c>
      <c r="B81" s="93">
        <f>'Import 06'!B17</f>
        <v>7.2342979999999999</v>
      </c>
      <c r="C81" s="5">
        <v>13855.888000000001</v>
      </c>
      <c r="D81" s="75">
        <f t="shared" si="2"/>
        <v>5.2211002282928384E-8</v>
      </c>
      <c r="E81" s="1"/>
    </row>
    <row r="82" spans="1:10" x14ac:dyDescent="0.25">
      <c r="A82" s="10">
        <v>2007</v>
      </c>
      <c r="B82" s="93">
        <f>'Import 06'!B18</f>
        <v>11.497343000000001</v>
      </c>
      <c r="C82" s="5">
        <v>14477.635</v>
      </c>
      <c r="D82" s="75">
        <f t="shared" si="2"/>
        <v>7.9414510726372094E-8</v>
      </c>
      <c r="E82" s="1"/>
    </row>
    <row r="83" spans="1:10" x14ac:dyDescent="0.25">
      <c r="A83" s="10">
        <v>2008</v>
      </c>
      <c r="B83" s="93">
        <f>'Import 06'!B19</f>
        <v>11.216604</v>
      </c>
      <c r="C83" s="5">
        <v>14718.582</v>
      </c>
      <c r="D83" s="75">
        <f t="shared" si="2"/>
        <v>7.6207096580363516E-8</v>
      </c>
      <c r="E83" s="1"/>
    </row>
    <row r="84" spans="1:10" x14ac:dyDescent="0.25">
      <c r="A84" s="10">
        <v>2009</v>
      </c>
      <c r="B84" s="93">
        <f>'Import 06'!B20</f>
        <v>6.9827849999999998</v>
      </c>
      <c r="C84" s="5">
        <v>14418.739</v>
      </c>
      <c r="D84" s="75">
        <f t="shared" si="2"/>
        <v>4.84285414972835E-8</v>
      </c>
      <c r="E84" s="1"/>
    </row>
    <row r="85" spans="1:10" x14ac:dyDescent="0.25">
      <c r="A85" s="10">
        <v>2010</v>
      </c>
      <c r="B85" s="93">
        <f>'Import 06'!B21</f>
        <v>7.0415270000000003</v>
      </c>
      <c r="C85" s="5">
        <v>14964.371999999999</v>
      </c>
      <c r="D85" s="75">
        <f t="shared" si="2"/>
        <v>4.7055279032090359E-8</v>
      </c>
      <c r="E85" s="1"/>
    </row>
    <row r="86" spans="1:10" x14ac:dyDescent="0.25">
      <c r="A86" s="10">
        <v>2011</v>
      </c>
      <c r="B86" s="93">
        <f>'Import 06'!B22</f>
        <v>9.4157279999999997</v>
      </c>
      <c r="C86" s="5">
        <v>15517.925999999999</v>
      </c>
      <c r="D86" s="75">
        <f t="shared" si="2"/>
        <v>6.0676458954630921E-8</v>
      </c>
      <c r="E86" s="1"/>
    </row>
    <row r="87" spans="1:10" x14ac:dyDescent="0.25">
      <c r="A87" s="10">
        <v>2012</v>
      </c>
      <c r="B87" s="93">
        <f>'Import 06'!B23</f>
        <v>16.035523999999999</v>
      </c>
      <c r="C87" s="5">
        <v>16155.254999999999</v>
      </c>
      <c r="D87" s="75">
        <f t="shared" si="2"/>
        <v>9.9258872732123387E-8</v>
      </c>
      <c r="E87" s="1"/>
    </row>
    <row r="88" spans="1:10" x14ac:dyDescent="0.25">
      <c r="A88" s="10">
        <v>2013</v>
      </c>
      <c r="B88" s="93">
        <f>'Import 06'!B24</f>
        <v>16.125896000000001</v>
      </c>
      <c r="C88" s="5">
        <v>16663.16</v>
      </c>
      <c r="D88" s="75">
        <f t="shared" si="2"/>
        <v>9.6775737615194251E-8</v>
      </c>
      <c r="E88" s="1"/>
    </row>
    <row r="89" spans="1:10" x14ac:dyDescent="0.25">
      <c r="A89" s="10">
        <v>2014</v>
      </c>
      <c r="B89" s="93">
        <f>'Import 06'!B25</f>
        <v>15.409177</v>
      </c>
      <c r="C89" s="5">
        <v>17348.071499999998</v>
      </c>
      <c r="D89" s="75">
        <f t="shared" si="2"/>
        <v>8.8823573271530495E-8</v>
      </c>
      <c r="E89" s="1"/>
    </row>
    <row r="90" spans="1:10" x14ac:dyDescent="0.25">
      <c r="A90" s="11">
        <v>2015</v>
      </c>
      <c r="B90" s="93">
        <f>'Import 06'!B26</f>
        <v>13.362054000000001</v>
      </c>
      <c r="C90" s="5">
        <v>17946.995999999999</v>
      </c>
      <c r="D90" s="75">
        <f t="shared" si="2"/>
        <v>7.4452872224410153E-8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60" x14ac:dyDescent="0.25">
      <c r="A95" s="12" t="s">
        <v>3</v>
      </c>
      <c r="B95" s="13" t="s">
        <v>156</v>
      </c>
      <c r="C95" s="13" t="s">
        <v>7</v>
      </c>
      <c r="D95" s="14" t="s">
        <v>43</v>
      </c>
    </row>
    <row r="96" spans="1:10" x14ac:dyDescent="0.25">
      <c r="A96" s="10">
        <v>1991</v>
      </c>
      <c r="B96" s="2">
        <f t="shared" ref="B96:B120" si="3">B7</f>
        <v>34.710495999999999</v>
      </c>
      <c r="C96" s="5">
        <v>6174.0429999999997</v>
      </c>
      <c r="D96" s="75">
        <f t="shared" ref="D96:D120" si="4">(B96/C96)/10000</f>
        <v>5.6220042523189427E-7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>
        <f t="shared" si="3"/>
        <v>31.046907999999998</v>
      </c>
      <c r="C97" s="5">
        <v>6539.299</v>
      </c>
      <c r="D97" s="75">
        <f t="shared" si="4"/>
        <v>4.7477425332592989E-7</v>
      </c>
    </row>
    <row r="98" spans="1:4" x14ac:dyDescent="0.25">
      <c r="A98" s="10">
        <v>1993</v>
      </c>
      <c r="B98" s="2">
        <f t="shared" si="3"/>
        <v>38.090372000000002</v>
      </c>
      <c r="C98" s="5">
        <v>6878.7179999999998</v>
      </c>
      <c r="D98" s="75">
        <f t="shared" si="4"/>
        <v>5.5374231070382598E-7</v>
      </c>
    </row>
    <row r="99" spans="1:4" x14ac:dyDescent="0.25">
      <c r="A99" s="10">
        <v>1994</v>
      </c>
      <c r="B99" s="2">
        <f t="shared" si="3"/>
        <v>47.060023999999999</v>
      </c>
      <c r="C99" s="5">
        <v>7308.7550000000001</v>
      </c>
      <c r="D99" s="75">
        <f t="shared" si="4"/>
        <v>6.4388564126174704E-7</v>
      </c>
    </row>
    <row r="100" spans="1:4" x14ac:dyDescent="0.25">
      <c r="A100" s="10">
        <v>1995</v>
      </c>
      <c r="B100" s="2">
        <f t="shared" si="3"/>
        <v>41.068123999999997</v>
      </c>
      <c r="C100" s="5">
        <v>7664.06</v>
      </c>
      <c r="D100" s="75">
        <f t="shared" si="4"/>
        <v>5.3585337275543245E-7</v>
      </c>
    </row>
    <row r="101" spans="1:4" x14ac:dyDescent="0.25">
      <c r="A101" s="10">
        <v>1996</v>
      </c>
      <c r="B101" s="2">
        <f t="shared" si="3"/>
        <v>60.505304000000002</v>
      </c>
      <c r="C101" s="5">
        <v>8100.201</v>
      </c>
      <c r="D101" s="75">
        <f t="shared" si="4"/>
        <v>7.4696052604126741E-7</v>
      </c>
    </row>
    <row r="102" spans="1:4" x14ac:dyDescent="0.25">
      <c r="A102" s="10">
        <v>1997</v>
      </c>
      <c r="B102" s="2">
        <f t="shared" si="3"/>
        <v>51.986088000000002</v>
      </c>
      <c r="C102" s="5">
        <v>8608.5149999999994</v>
      </c>
      <c r="D102" s="75">
        <f t="shared" si="4"/>
        <v>6.0389147257105324E-7</v>
      </c>
    </row>
    <row r="103" spans="1:4" x14ac:dyDescent="0.25">
      <c r="A103" s="10">
        <v>1998</v>
      </c>
      <c r="B103" s="2">
        <f t="shared" si="3"/>
        <v>66.543272000000002</v>
      </c>
      <c r="C103" s="5">
        <v>9089.1679999999997</v>
      </c>
      <c r="D103" s="75">
        <f t="shared" si="4"/>
        <v>7.3211620689594473E-7</v>
      </c>
    </row>
    <row r="104" spans="1:4" x14ac:dyDescent="0.25">
      <c r="A104" s="10">
        <v>1999</v>
      </c>
      <c r="B104" s="2">
        <f t="shared" si="3"/>
        <v>35.998551999999997</v>
      </c>
      <c r="C104" s="5">
        <v>9660.6239999999998</v>
      </c>
      <c r="D104" s="75">
        <f t="shared" si="4"/>
        <v>3.7263174718320471E-7</v>
      </c>
    </row>
    <row r="105" spans="1:4" x14ac:dyDescent="0.25">
      <c r="A105" s="10">
        <v>2000</v>
      </c>
      <c r="B105" s="2">
        <f t="shared" si="3"/>
        <v>31.175438</v>
      </c>
      <c r="C105" s="5">
        <v>10284.779</v>
      </c>
      <c r="D105" s="75">
        <f t="shared" si="4"/>
        <v>3.0312209917198996E-7</v>
      </c>
    </row>
    <row r="106" spans="1:4" x14ac:dyDescent="0.25">
      <c r="A106" s="10">
        <v>2001</v>
      </c>
      <c r="B106" s="2">
        <f t="shared" si="3"/>
        <v>34.390827000000002</v>
      </c>
      <c r="C106" s="5">
        <v>10621.824000000001</v>
      </c>
      <c r="D106" s="75">
        <f t="shared" si="4"/>
        <v>3.2377515387187737E-7</v>
      </c>
    </row>
    <row r="107" spans="1:4" x14ac:dyDescent="0.25">
      <c r="A107" s="10">
        <v>2002</v>
      </c>
      <c r="B107" s="2">
        <f t="shared" si="3"/>
        <v>35.354666000000002</v>
      </c>
      <c r="C107" s="5">
        <v>10977.513999999999</v>
      </c>
      <c r="D107" s="75">
        <f t="shared" si="4"/>
        <v>3.2206441276230671E-7</v>
      </c>
    </row>
    <row r="108" spans="1:4" x14ac:dyDescent="0.25">
      <c r="A108" s="10">
        <v>2003</v>
      </c>
      <c r="B108" s="2">
        <f t="shared" si="3"/>
        <v>56.438361</v>
      </c>
      <c r="C108" s="5">
        <v>11510.67</v>
      </c>
      <c r="D108" s="75">
        <f t="shared" si="4"/>
        <v>4.9031343092973735E-7</v>
      </c>
    </row>
    <row r="109" spans="1:4" x14ac:dyDescent="0.25">
      <c r="A109" s="10">
        <v>2004</v>
      </c>
      <c r="B109" s="2">
        <f t="shared" si="3"/>
        <v>50.564785000000001</v>
      </c>
      <c r="C109" s="5">
        <v>12274.928</v>
      </c>
      <c r="D109" s="75">
        <f t="shared" si="4"/>
        <v>4.1193549159718086E-7</v>
      </c>
    </row>
    <row r="110" spans="1:4" x14ac:dyDescent="0.25">
      <c r="A110" s="10">
        <v>2005</v>
      </c>
      <c r="B110" s="2">
        <f t="shared" si="3"/>
        <v>58.066253000000003</v>
      </c>
      <c r="C110" s="5">
        <v>13093.726000000001</v>
      </c>
      <c r="D110" s="75">
        <f t="shared" si="4"/>
        <v>4.4346622955146611E-7</v>
      </c>
    </row>
    <row r="111" spans="1:4" x14ac:dyDescent="0.25">
      <c r="A111" s="10">
        <v>2006</v>
      </c>
      <c r="B111" s="2">
        <f t="shared" si="3"/>
        <v>74.293081999999998</v>
      </c>
      <c r="C111" s="5">
        <v>13855.888000000001</v>
      </c>
      <c r="D111" s="75">
        <f t="shared" si="4"/>
        <v>5.361841983711185E-7</v>
      </c>
    </row>
    <row r="112" spans="1:4" x14ac:dyDescent="0.25">
      <c r="A112" s="10">
        <v>2007</v>
      </c>
      <c r="B112" s="2">
        <f t="shared" si="3"/>
        <v>31.500926</v>
      </c>
      <c r="C112" s="5">
        <v>14477.635</v>
      </c>
      <c r="D112" s="75">
        <f t="shared" si="4"/>
        <v>2.1758336910690179E-7</v>
      </c>
    </row>
    <row r="113" spans="1:10" x14ac:dyDescent="0.25">
      <c r="A113" s="10">
        <v>2008</v>
      </c>
      <c r="B113" s="2">
        <f t="shared" si="3"/>
        <v>38.706232</v>
      </c>
      <c r="C113" s="5">
        <v>14718.582</v>
      </c>
      <c r="D113" s="75">
        <f t="shared" si="4"/>
        <v>2.6297527846092781E-7</v>
      </c>
    </row>
    <row r="114" spans="1:10" x14ac:dyDescent="0.25">
      <c r="A114" s="10">
        <v>2009</v>
      </c>
      <c r="B114" s="2">
        <f t="shared" si="3"/>
        <v>60.260446999999999</v>
      </c>
      <c r="C114" s="5">
        <v>14418.739</v>
      </c>
      <c r="D114" s="75">
        <f t="shared" si="4"/>
        <v>4.179314640482777E-7</v>
      </c>
    </row>
    <row r="115" spans="1:10" x14ac:dyDescent="0.25">
      <c r="A115" s="10">
        <v>2010</v>
      </c>
      <c r="B115" s="2">
        <f t="shared" si="3"/>
        <v>87.062790000000007</v>
      </c>
      <c r="C115" s="5">
        <v>14964.371999999999</v>
      </c>
      <c r="D115" s="75">
        <f t="shared" si="4"/>
        <v>5.8180049252985698E-7</v>
      </c>
    </row>
    <row r="116" spans="1:10" x14ac:dyDescent="0.25">
      <c r="A116" s="10">
        <v>2011</v>
      </c>
      <c r="B116" s="2">
        <f t="shared" si="3"/>
        <v>66.103155999999998</v>
      </c>
      <c r="C116" s="5">
        <v>15517.925999999999</v>
      </c>
      <c r="D116" s="75">
        <f t="shared" si="4"/>
        <v>4.2597932223674739E-7</v>
      </c>
    </row>
    <row r="117" spans="1:10" x14ac:dyDescent="0.25">
      <c r="A117" s="10">
        <v>2012</v>
      </c>
      <c r="B117" s="2">
        <f t="shared" si="3"/>
        <v>89.009129999999999</v>
      </c>
      <c r="C117" s="5">
        <v>16155.254999999999</v>
      </c>
      <c r="D117" s="75">
        <f t="shared" si="4"/>
        <v>5.5096084834315524E-7</v>
      </c>
    </row>
    <row r="118" spans="1:10" x14ac:dyDescent="0.25">
      <c r="A118" s="10">
        <v>2013</v>
      </c>
      <c r="B118" s="2">
        <f t="shared" si="3"/>
        <v>55.238146</v>
      </c>
      <c r="C118" s="5">
        <v>16663.16</v>
      </c>
      <c r="D118" s="75">
        <f t="shared" si="4"/>
        <v>3.3149862331034451E-7</v>
      </c>
    </row>
    <row r="119" spans="1:10" x14ac:dyDescent="0.25">
      <c r="A119" s="10">
        <v>2014</v>
      </c>
      <c r="B119" s="2">
        <f t="shared" si="3"/>
        <v>97.503679000000005</v>
      </c>
      <c r="C119" s="5">
        <v>17348.071499999998</v>
      </c>
      <c r="D119" s="75">
        <f t="shared" si="4"/>
        <v>5.6204333144465093E-7</v>
      </c>
    </row>
    <row r="120" spans="1:10" x14ac:dyDescent="0.25">
      <c r="A120" s="11">
        <v>2015</v>
      </c>
      <c r="B120" s="2">
        <f t="shared" si="3"/>
        <v>81.490409</v>
      </c>
      <c r="C120" s="5">
        <v>17946.995999999999</v>
      </c>
      <c r="D120" s="75">
        <f t="shared" si="4"/>
        <v>4.540615543682074E-7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147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3">
        <f t="shared" ref="B125:B149" si="5">B7+B36</f>
        <v>36.323250000000002</v>
      </c>
      <c r="C125" s="5">
        <v>41239.551378248201</v>
      </c>
      <c r="D125" s="19">
        <f t="shared" ref="D125:D149" si="6">(B125/C125)/100</f>
        <v>8.8078673957541392E-6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3">
        <f t="shared" si="5"/>
        <v>32.931391999999995</v>
      </c>
      <c r="C126" s="5">
        <v>49279.585355094838</v>
      </c>
      <c r="D126" s="19">
        <f t="shared" si="6"/>
        <v>6.6825627209940267E-6</v>
      </c>
      <c r="I126" s="42"/>
    </row>
    <row r="127" spans="1:10" x14ac:dyDescent="0.25">
      <c r="A127" s="10">
        <v>1993</v>
      </c>
      <c r="B127" s="3">
        <f t="shared" si="5"/>
        <v>39.969422000000002</v>
      </c>
      <c r="C127" s="5">
        <v>55802.540100979531</v>
      </c>
      <c r="D127" s="19">
        <f t="shared" si="6"/>
        <v>7.1626527981829982E-6</v>
      </c>
    </row>
    <row r="128" spans="1:10" x14ac:dyDescent="0.25">
      <c r="A128" s="10">
        <v>1994</v>
      </c>
      <c r="B128" s="3">
        <f t="shared" si="5"/>
        <v>51.140653999999998</v>
      </c>
      <c r="C128" s="5">
        <v>81703.496603993364</v>
      </c>
      <c r="D128" s="19">
        <f t="shared" si="6"/>
        <v>6.2592980870662556E-6</v>
      </c>
    </row>
    <row r="129" spans="1:4" x14ac:dyDescent="0.25">
      <c r="A129" s="10">
        <v>1995</v>
      </c>
      <c r="B129" s="3">
        <f t="shared" si="5"/>
        <v>44.837567999999997</v>
      </c>
      <c r="C129" s="5">
        <v>92507.277798198498</v>
      </c>
      <c r="D129" s="19">
        <f t="shared" si="6"/>
        <v>4.8469232980578716E-6</v>
      </c>
    </row>
    <row r="130" spans="1:4" x14ac:dyDescent="0.25">
      <c r="A130" s="10">
        <v>1996</v>
      </c>
      <c r="B130" s="3">
        <f t="shared" si="5"/>
        <v>65.159290999999996</v>
      </c>
      <c r="C130" s="5">
        <v>97160.111573336981</v>
      </c>
      <c r="D130" s="19">
        <f t="shared" si="6"/>
        <v>6.7063828915858552E-6</v>
      </c>
    </row>
    <row r="131" spans="1:4" x14ac:dyDescent="0.25">
      <c r="A131" s="10">
        <v>1997</v>
      </c>
      <c r="B131" s="3">
        <f t="shared" si="5"/>
        <v>56.681766000000003</v>
      </c>
      <c r="C131" s="5">
        <v>106659.5079635281</v>
      </c>
      <c r="D131" s="19">
        <f t="shared" si="6"/>
        <v>5.314272218411336E-6</v>
      </c>
    </row>
    <row r="132" spans="1:4" x14ac:dyDescent="0.25">
      <c r="A132" s="10">
        <v>1998</v>
      </c>
      <c r="B132" s="3">
        <f t="shared" si="5"/>
        <v>71.914170999999996</v>
      </c>
      <c r="C132" s="5">
        <v>98443.743190849113</v>
      </c>
      <c r="D132" s="19">
        <f t="shared" si="6"/>
        <v>7.3051032670083202E-6</v>
      </c>
    </row>
    <row r="133" spans="1:4" x14ac:dyDescent="0.25">
      <c r="A133" s="10">
        <v>1999</v>
      </c>
      <c r="B133" s="3">
        <f t="shared" si="5"/>
        <v>41.495827999999996</v>
      </c>
      <c r="C133" s="5">
        <v>86186.156584381664</v>
      </c>
      <c r="D133" s="19">
        <f t="shared" si="6"/>
        <v>4.8146743797970582E-6</v>
      </c>
    </row>
    <row r="134" spans="1:4" x14ac:dyDescent="0.25">
      <c r="A134" s="10">
        <v>2000</v>
      </c>
      <c r="B134" s="3">
        <f t="shared" si="5"/>
        <v>35.332606999999996</v>
      </c>
      <c r="C134" s="5">
        <v>99886.577575544405</v>
      </c>
      <c r="D134" s="19">
        <f t="shared" si="6"/>
        <v>3.537272760524594E-6</v>
      </c>
    </row>
    <row r="135" spans="1:4" x14ac:dyDescent="0.25">
      <c r="A135" s="10">
        <v>2001</v>
      </c>
      <c r="B135" s="3">
        <f t="shared" si="5"/>
        <v>38.785896999999999</v>
      </c>
      <c r="C135" s="5">
        <v>98203.544965267793</v>
      </c>
      <c r="D135" s="19">
        <f t="shared" si="6"/>
        <v>3.9495414359754149E-6</v>
      </c>
    </row>
    <row r="136" spans="1:4" x14ac:dyDescent="0.25">
      <c r="A136" s="10">
        <v>2002</v>
      </c>
      <c r="B136" s="3">
        <f t="shared" si="5"/>
        <v>38.935119</v>
      </c>
      <c r="C136" s="5">
        <v>97933.392356425305</v>
      </c>
      <c r="D136" s="19">
        <f t="shared" si="6"/>
        <v>3.9756734718528833E-6</v>
      </c>
    </row>
    <row r="137" spans="1:4" x14ac:dyDescent="0.25">
      <c r="A137" s="10">
        <v>2003</v>
      </c>
      <c r="B137" s="3">
        <f t="shared" si="5"/>
        <v>59.510576999999998</v>
      </c>
      <c r="C137" s="5">
        <v>94684.582573316715</v>
      </c>
      <c r="D137" s="19">
        <f t="shared" si="6"/>
        <v>6.2851390778344955E-6</v>
      </c>
    </row>
    <row r="138" spans="1:4" x14ac:dyDescent="0.25">
      <c r="A138" s="10">
        <v>2004</v>
      </c>
      <c r="B138" s="3">
        <f t="shared" si="5"/>
        <v>54.612569000000001</v>
      </c>
      <c r="C138" s="5">
        <v>117074.86551527939</v>
      </c>
      <c r="D138" s="19">
        <f t="shared" si="6"/>
        <v>4.6647560737853283E-6</v>
      </c>
    </row>
    <row r="139" spans="1:4" x14ac:dyDescent="0.25">
      <c r="A139" s="10">
        <v>2005</v>
      </c>
      <c r="B139" s="3">
        <f t="shared" si="5"/>
        <v>62.947782000000004</v>
      </c>
      <c r="C139" s="5">
        <v>146566.26631057015</v>
      </c>
      <c r="D139" s="19">
        <f t="shared" si="6"/>
        <v>4.2948342469620717E-6</v>
      </c>
    </row>
    <row r="140" spans="1:4" x14ac:dyDescent="0.25">
      <c r="A140" s="10">
        <v>2006</v>
      </c>
      <c r="B140" s="3">
        <f t="shared" si="5"/>
        <v>81.527379999999994</v>
      </c>
      <c r="C140" s="5">
        <v>162590.1460964143</v>
      </c>
      <c r="D140" s="19">
        <f t="shared" si="6"/>
        <v>5.0142878862815647E-6</v>
      </c>
    </row>
    <row r="141" spans="1:4" x14ac:dyDescent="0.25">
      <c r="A141" s="10">
        <v>2007</v>
      </c>
      <c r="B141" s="3">
        <f t="shared" si="5"/>
        <v>42.998269000000001</v>
      </c>
      <c r="C141" s="5">
        <v>207416.49464237894</v>
      </c>
      <c r="D141" s="19">
        <f t="shared" si="6"/>
        <v>2.0730399997423675E-6</v>
      </c>
    </row>
    <row r="142" spans="1:4" x14ac:dyDescent="0.25">
      <c r="A142" s="10">
        <v>2008</v>
      </c>
      <c r="B142" s="3">
        <f t="shared" si="5"/>
        <v>49.922836000000004</v>
      </c>
      <c r="C142" s="5">
        <v>243982.43787084011</v>
      </c>
      <c r="D142" s="19">
        <f t="shared" si="6"/>
        <v>2.0461651435103804E-6</v>
      </c>
    </row>
    <row r="143" spans="1:4" x14ac:dyDescent="0.25">
      <c r="A143" s="10">
        <v>2009</v>
      </c>
      <c r="B143" s="3">
        <f t="shared" si="5"/>
        <v>67.243232000000006</v>
      </c>
      <c r="C143" s="5">
        <v>233821.6705442575</v>
      </c>
      <c r="D143" s="19">
        <f t="shared" si="6"/>
        <v>2.8758340423913907E-6</v>
      </c>
    </row>
    <row r="144" spans="1:4" x14ac:dyDescent="0.25">
      <c r="A144" s="10">
        <v>2010</v>
      </c>
      <c r="B144" s="3">
        <f t="shared" si="5"/>
        <v>94.104317000000009</v>
      </c>
      <c r="C144" s="5">
        <v>287018.18463752925</v>
      </c>
      <c r="D144" s="19">
        <f t="shared" si="6"/>
        <v>3.2786883213982719E-6</v>
      </c>
    </row>
    <row r="145" spans="1:10" x14ac:dyDescent="0.25">
      <c r="A145" s="10">
        <v>2011</v>
      </c>
      <c r="B145" s="3">
        <f t="shared" si="5"/>
        <v>75.518884</v>
      </c>
      <c r="C145" s="5">
        <v>335415.15670218616</v>
      </c>
      <c r="D145" s="19">
        <f t="shared" si="6"/>
        <v>2.2515048139894564E-6</v>
      </c>
    </row>
    <row r="146" spans="1:10" x14ac:dyDescent="0.25">
      <c r="A146" s="10">
        <v>2012</v>
      </c>
      <c r="B146" s="3">
        <f t="shared" si="5"/>
        <v>105.04465399999999</v>
      </c>
      <c r="C146" s="5">
        <v>369659.70037551981</v>
      </c>
      <c r="D146" s="19">
        <f t="shared" si="6"/>
        <v>2.8416582573997135E-6</v>
      </c>
    </row>
    <row r="147" spans="1:10" x14ac:dyDescent="0.25">
      <c r="A147" s="10">
        <v>2013</v>
      </c>
      <c r="B147" s="3">
        <f t="shared" si="5"/>
        <v>71.364041999999998</v>
      </c>
      <c r="C147" s="5">
        <v>380191.88186037214</v>
      </c>
      <c r="D147" s="19">
        <f t="shared" si="6"/>
        <v>1.8770532829580219E-6</v>
      </c>
    </row>
    <row r="148" spans="1:10" x14ac:dyDescent="0.25">
      <c r="A148" s="10">
        <v>2014</v>
      </c>
      <c r="B148" s="3">
        <f t="shared" si="5"/>
        <v>112.912856</v>
      </c>
      <c r="C148" s="5">
        <v>378416.02053371473</v>
      </c>
      <c r="D148" s="19">
        <f t="shared" si="6"/>
        <v>2.9838286402554701E-6</v>
      </c>
    </row>
    <row r="149" spans="1:10" x14ac:dyDescent="0.25">
      <c r="A149" s="11">
        <v>2015</v>
      </c>
      <c r="B149" s="3">
        <f t="shared" si="5"/>
        <v>94.852463</v>
      </c>
      <c r="C149" s="6">
        <v>292080.15563330991</v>
      </c>
      <c r="D149" s="19">
        <f t="shared" si="6"/>
        <v>3.2474805689668933E-6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45" x14ac:dyDescent="0.25">
      <c r="A153" s="12" t="s">
        <v>3</v>
      </c>
      <c r="B153" s="13" t="s">
        <v>148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80">
        <f t="shared" ref="B154:B178" si="7">B125</f>
        <v>36.323250000000002</v>
      </c>
      <c r="C154" s="5">
        <v>6174.0429999999997</v>
      </c>
      <c r="D154" s="75">
        <f t="shared" ref="D154:D178" si="8">(B154/C154)/10000</f>
        <v>5.8832194722323779E-7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80">
        <f t="shared" si="7"/>
        <v>32.931391999999995</v>
      </c>
      <c r="C155" s="5">
        <v>6539.299</v>
      </c>
      <c r="D155" s="75">
        <f t="shared" si="8"/>
        <v>5.0359208227059188E-7</v>
      </c>
    </row>
    <row r="156" spans="1:10" x14ac:dyDescent="0.25">
      <c r="A156" s="10">
        <v>1993</v>
      </c>
      <c r="B156" s="80">
        <f t="shared" si="7"/>
        <v>39.969422000000002</v>
      </c>
      <c r="C156" s="5">
        <v>6878.7179999999998</v>
      </c>
      <c r="D156" s="75">
        <f t="shared" si="8"/>
        <v>5.8105917410773344E-7</v>
      </c>
    </row>
    <row r="157" spans="1:10" x14ac:dyDescent="0.25">
      <c r="A157" s="10">
        <v>1994</v>
      </c>
      <c r="B157" s="80">
        <f t="shared" si="7"/>
        <v>51.140653999999998</v>
      </c>
      <c r="C157" s="5">
        <v>7308.7550000000001</v>
      </c>
      <c r="D157" s="75">
        <f t="shared" si="8"/>
        <v>6.9971772210178071E-7</v>
      </c>
    </row>
    <row r="158" spans="1:10" x14ac:dyDescent="0.25">
      <c r="A158" s="10">
        <v>1995</v>
      </c>
      <c r="B158" s="80">
        <f t="shared" si="7"/>
        <v>44.837567999999997</v>
      </c>
      <c r="C158" s="5">
        <v>7664.06</v>
      </c>
      <c r="D158" s="75">
        <f t="shared" si="8"/>
        <v>5.8503675597529241E-7</v>
      </c>
    </row>
    <row r="159" spans="1:10" x14ac:dyDescent="0.25">
      <c r="A159" s="10">
        <v>1996</v>
      </c>
      <c r="B159" s="80">
        <f t="shared" si="7"/>
        <v>65.159290999999996</v>
      </c>
      <c r="C159" s="5">
        <v>8100.201</v>
      </c>
      <c r="D159" s="75">
        <f t="shared" si="8"/>
        <v>8.0441572993065232E-7</v>
      </c>
    </row>
    <row r="160" spans="1:10" x14ac:dyDescent="0.25">
      <c r="A160" s="10">
        <v>1997</v>
      </c>
      <c r="B160" s="80">
        <f t="shared" si="7"/>
        <v>56.681766000000003</v>
      </c>
      <c r="C160" s="5">
        <v>8608.5149999999994</v>
      </c>
      <c r="D160" s="75">
        <f t="shared" si="8"/>
        <v>6.5843837177492289E-7</v>
      </c>
    </row>
    <row r="161" spans="1:4" x14ac:dyDescent="0.25">
      <c r="A161" s="10">
        <v>1998</v>
      </c>
      <c r="B161" s="80">
        <f t="shared" si="7"/>
        <v>71.914170999999996</v>
      </c>
      <c r="C161" s="5">
        <v>9089.1679999999997</v>
      </c>
      <c r="D161" s="75">
        <f t="shared" si="8"/>
        <v>7.9120741304374612E-7</v>
      </c>
    </row>
    <row r="162" spans="1:4" x14ac:dyDescent="0.25">
      <c r="A162" s="10">
        <v>1999</v>
      </c>
      <c r="B162" s="80">
        <f t="shared" si="7"/>
        <v>41.495827999999996</v>
      </c>
      <c r="C162" s="5">
        <v>9660.6239999999998</v>
      </c>
      <c r="D162" s="75">
        <f t="shared" si="8"/>
        <v>4.2953569044815322E-7</v>
      </c>
    </row>
    <row r="163" spans="1:4" x14ac:dyDescent="0.25">
      <c r="A163" s="10">
        <v>2000</v>
      </c>
      <c r="B163" s="80">
        <f t="shared" si="7"/>
        <v>35.332606999999996</v>
      </c>
      <c r="C163" s="5">
        <v>10284.779</v>
      </c>
      <c r="D163" s="75">
        <f t="shared" si="8"/>
        <v>3.4354269547260076E-7</v>
      </c>
    </row>
    <row r="164" spans="1:4" x14ac:dyDescent="0.25">
      <c r="A164" s="10">
        <v>2001</v>
      </c>
      <c r="B164" s="80">
        <f t="shared" si="7"/>
        <v>38.785896999999999</v>
      </c>
      <c r="C164" s="5">
        <v>10621.824000000001</v>
      </c>
      <c r="D164" s="75">
        <f t="shared" si="8"/>
        <v>3.651528871124206E-7</v>
      </c>
    </row>
    <row r="165" spans="1:4" x14ac:dyDescent="0.25">
      <c r="A165" s="10">
        <v>2002</v>
      </c>
      <c r="B165" s="80">
        <f t="shared" si="7"/>
        <v>38.935119</v>
      </c>
      <c r="C165" s="5">
        <v>10977.513999999999</v>
      </c>
      <c r="D165" s="75">
        <f t="shared" si="8"/>
        <v>3.5468065902717139E-7</v>
      </c>
    </row>
    <row r="166" spans="1:4" x14ac:dyDescent="0.25">
      <c r="A166" s="10">
        <v>2003</v>
      </c>
      <c r="B166" s="80">
        <f t="shared" si="7"/>
        <v>59.510576999999998</v>
      </c>
      <c r="C166" s="5">
        <v>11510.67</v>
      </c>
      <c r="D166" s="75">
        <f t="shared" si="8"/>
        <v>5.1700358884408991E-7</v>
      </c>
    </row>
    <row r="167" spans="1:4" x14ac:dyDescent="0.25">
      <c r="A167" s="10">
        <v>2004</v>
      </c>
      <c r="B167" s="80">
        <f t="shared" si="7"/>
        <v>54.612569000000001</v>
      </c>
      <c r="C167" s="5">
        <v>12274.928</v>
      </c>
      <c r="D167" s="75">
        <f t="shared" si="8"/>
        <v>4.4491152208795028E-7</v>
      </c>
    </row>
    <row r="168" spans="1:4" x14ac:dyDescent="0.25">
      <c r="A168" s="10">
        <v>2005</v>
      </c>
      <c r="B168" s="80">
        <f t="shared" si="7"/>
        <v>62.947782000000004</v>
      </c>
      <c r="C168" s="5">
        <v>13093.726000000001</v>
      </c>
      <c r="D168" s="75">
        <f t="shared" si="8"/>
        <v>4.8074766495037394E-7</v>
      </c>
    </row>
    <row r="169" spans="1:4" x14ac:dyDescent="0.25">
      <c r="A169" s="10">
        <v>2006</v>
      </c>
      <c r="B169" s="80">
        <f t="shared" si="7"/>
        <v>81.527379999999994</v>
      </c>
      <c r="C169" s="5">
        <v>13855.888000000001</v>
      </c>
      <c r="D169" s="75">
        <f t="shared" si="8"/>
        <v>5.8839520065404677E-7</v>
      </c>
    </row>
    <row r="170" spans="1:4" x14ac:dyDescent="0.25">
      <c r="A170" s="10">
        <v>2007</v>
      </c>
      <c r="B170" s="80">
        <f t="shared" si="7"/>
        <v>42.998269000000001</v>
      </c>
      <c r="C170" s="5">
        <v>14477.635</v>
      </c>
      <c r="D170" s="75">
        <f t="shared" si="8"/>
        <v>2.9699787983327386E-7</v>
      </c>
    </row>
    <row r="171" spans="1:4" x14ac:dyDescent="0.25">
      <c r="A171" s="10">
        <v>2008</v>
      </c>
      <c r="B171" s="80">
        <f t="shared" si="7"/>
        <v>49.922836000000004</v>
      </c>
      <c r="C171" s="5">
        <v>14718.582</v>
      </c>
      <c r="D171" s="75">
        <f t="shared" si="8"/>
        <v>3.3918237504129136E-7</v>
      </c>
    </row>
    <row r="172" spans="1:4" x14ac:dyDescent="0.25">
      <c r="A172" s="10">
        <v>2009</v>
      </c>
      <c r="B172" s="80">
        <f t="shared" si="7"/>
        <v>67.243232000000006</v>
      </c>
      <c r="C172" s="5">
        <v>14418.739</v>
      </c>
      <c r="D172" s="75">
        <f t="shared" si="8"/>
        <v>4.6636000554556129E-7</v>
      </c>
    </row>
    <row r="173" spans="1:4" x14ac:dyDescent="0.25">
      <c r="A173" s="10">
        <v>2010</v>
      </c>
      <c r="B173" s="80">
        <f t="shared" si="7"/>
        <v>94.104317000000009</v>
      </c>
      <c r="C173" s="5">
        <v>14964.371999999999</v>
      </c>
      <c r="D173" s="75">
        <f t="shared" si="8"/>
        <v>6.2885577156194738E-7</v>
      </c>
    </row>
    <row r="174" spans="1:4" x14ac:dyDescent="0.25">
      <c r="A174" s="10">
        <v>2011</v>
      </c>
      <c r="B174" s="80">
        <f t="shared" si="7"/>
        <v>75.518884</v>
      </c>
      <c r="C174" s="5">
        <v>15517.925999999999</v>
      </c>
      <c r="D174" s="75">
        <f t="shared" si="8"/>
        <v>4.8665578119137835E-7</v>
      </c>
    </row>
    <row r="175" spans="1:4" x14ac:dyDescent="0.25">
      <c r="A175" s="10">
        <v>2012</v>
      </c>
      <c r="B175" s="80">
        <f t="shared" si="7"/>
        <v>105.04465399999999</v>
      </c>
      <c r="C175" s="5">
        <v>16155.254999999999</v>
      </c>
      <c r="D175" s="75">
        <f t="shared" si="8"/>
        <v>6.5021972107527857E-7</v>
      </c>
    </row>
    <row r="176" spans="1:4" x14ac:dyDescent="0.25">
      <c r="A176" s="10">
        <v>2013</v>
      </c>
      <c r="B176" s="80">
        <f t="shared" si="7"/>
        <v>71.364041999999998</v>
      </c>
      <c r="C176" s="5">
        <v>16663.16</v>
      </c>
      <c r="D176" s="75">
        <f t="shared" si="8"/>
        <v>4.2827436092553871E-7</v>
      </c>
    </row>
    <row r="177" spans="1:10" x14ac:dyDescent="0.25">
      <c r="A177" s="10">
        <v>2014</v>
      </c>
      <c r="B177" s="80">
        <f t="shared" si="7"/>
        <v>112.912856</v>
      </c>
      <c r="C177" s="5">
        <v>17348.071499999998</v>
      </c>
      <c r="D177" s="75">
        <f t="shared" si="8"/>
        <v>6.5086690471618139E-7</v>
      </c>
    </row>
    <row r="178" spans="1:10" x14ac:dyDescent="0.25">
      <c r="A178" s="11">
        <v>2015</v>
      </c>
      <c r="B178" s="80">
        <f t="shared" si="7"/>
        <v>94.852463</v>
      </c>
      <c r="C178" s="5">
        <v>17946.995999999999</v>
      </c>
      <c r="D178" s="75">
        <f t="shared" si="8"/>
        <v>5.2851442659261752E-7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75" x14ac:dyDescent="0.25">
      <c r="A183" s="12" t="s">
        <v>3</v>
      </c>
      <c r="B183" s="13" t="s">
        <v>149</v>
      </c>
      <c r="C183" s="13" t="s">
        <v>150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80">
        <f t="shared" ref="B184:B208" si="9">B154</f>
        <v>36.323250000000002</v>
      </c>
      <c r="C184" s="80">
        <f>Tabla116192640110[[#This Row],[Balanza Comercial Absoluta Colombia 
(US$ millones)]]/2</f>
        <v>18.161625000000001</v>
      </c>
      <c r="D184" s="5">
        <v>41239.551378248201</v>
      </c>
      <c r="E184" s="19">
        <f t="shared" ref="E184:E208" si="10">C184/(D184*100)</f>
        <v>4.4039336978770696E-6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80">
        <f t="shared" si="9"/>
        <v>32.931391999999995</v>
      </c>
      <c r="C185" s="80">
        <f>Tabla116192640110[[#This Row],[Balanza Comercial Absoluta Colombia 
(US$ millones)]]/2</f>
        <v>16.465695999999998</v>
      </c>
      <c r="D185" s="5">
        <v>49279.585355094838</v>
      </c>
      <c r="E185" s="19">
        <f t="shared" si="10"/>
        <v>3.3412813604970133E-6</v>
      </c>
    </row>
    <row r="186" spans="1:10" x14ac:dyDescent="0.25">
      <c r="A186" s="10">
        <v>1993</v>
      </c>
      <c r="B186" s="80">
        <f t="shared" si="9"/>
        <v>39.969422000000002</v>
      </c>
      <c r="C186" s="80">
        <f>Tabla116192640110[[#This Row],[Balanza Comercial Absoluta Colombia 
(US$ millones)]]/2</f>
        <v>19.984711000000001</v>
      </c>
      <c r="D186" s="5">
        <v>55802.540100979531</v>
      </c>
      <c r="E186" s="19">
        <f t="shared" si="10"/>
        <v>3.5813263990914991E-6</v>
      </c>
    </row>
    <row r="187" spans="1:10" x14ac:dyDescent="0.25">
      <c r="A187" s="10">
        <v>1994</v>
      </c>
      <c r="B187" s="80">
        <f t="shared" si="9"/>
        <v>51.140653999999998</v>
      </c>
      <c r="C187" s="80">
        <f>Tabla116192640110[[#This Row],[Balanza Comercial Absoluta Colombia 
(US$ millones)]]/2</f>
        <v>25.570326999999999</v>
      </c>
      <c r="D187" s="5">
        <v>81703.496603993364</v>
      </c>
      <c r="E187" s="19">
        <f t="shared" si="10"/>
        <v>3.1296490435331278E-6</v>
      </c>
    </row>
    <row r="188" spans="1:10" x14ac:dyDescent="0.25">
      <c r="A188" s="10">
        <v>1995</v>
      </c>
      <c r="B188" s="80">
        <f t="shared" si="9"/>
        <v>44.837567999999997</v>
      </c>
      <c r="C188" s="80">
        <f>Tabla116192640110[[#This Row],[Balanza Comercial Absoluta Colombia 
(US$ millones)]]/2</f>
        <v>22.418783999999999</v>
      </c>
      <c r="D188" s="5">
        <v>92507.277798198498</v>
      </c>
      <c r="E188" s="19">
        <f t="shared" si="10"/>
        <v>2.4234616490289358E-6</v>
      </c>
    </row>
    <row r="189" spans="1:10" x14ac:dyDescent="0.25">
      <c r="A189" s="10">
        <v>1996</v>
      </c>
      <c r="B189" s="80">
        <f t="shared" si="9"/>
        <v>65.159290999999996</v>
      </c>
      <c r="C189" s="80">
        <f>Tabla116192640110[[#This Row],[Balanza Comercial Absoluta Colombia 
(US$ millones)]]/2</f>
        <v>32.579645499999998</v>
      </c>
      <c r="D189" s="5">
        <v>97160.111573336981</v>
      </c>
      <c r="E189" s="19">
        <f t="shared" si="10"/>
        <v>3.3531914457929276E-6</v>
      </c>
    </row>
    <row r="190" spans="1:10" x14ac:dyDescent="0.25">
      <c r="A190" s="10">
        <v>1997</v>
      </c>
      <c r="B190" s="80">
        <f t="shared" si="9"/>
        <v>56.681766000000003</v>
      </c>
      <c r="C190" s="80">
        <f>Tabla116192640110[[#This Row],[Balanza Comercial Absoluta Colombia 
(US$ millones)]]/2</f>
        <v>28.340883000000002</v>
      </c>
      <c r="D190" s="5">
        <v>106659.5079635281</v>
      </c>
      <c r="E190" s="19">
        <f t="shared" si="10"/>
        <v>2.657136109205668E-6</v>
      </c>
    </row>
    <row r="191" spans="1:10" x14ac:dyDescent="0.25">
      <c r="A191" s="10">
        <v>1998</v>
      </c>
      <c r="B191" s="80">
        <f t="shared" si="9"/>
        <v>71.914170999999996</v>
      </c>
      <c r="C191" s="80">
        <f>Tabla116192640110[[#This Row],[Balanza Comercial Absoluta Colombia 
(US$ millones)]]/2</f>
        <v>35.957085499999998</v>
      </c>
      <c r="D191" s="5">
        <v>98443.743190849113</v>
      </c>
      <c r="E191" s="19">
        <f t="shared" si="10"/>
        <v>3.6525516335041605E-6</v>
      </c>
    </row>
    <row r="192" spans="1:10" x14ac:dyDescent="0.25">
      <c r="A192" s="10">
        <v>1999</v>
      </c>
      <c r="B192" s="80">
        <f t="shared" si="9"/>
        <v>41.495827999999996</v>
      </c>
      <c r="C192" s="80">
        <f>Tabla116192640110[[#This Row],[Balanza Comercial Absoluta Colombia 
(US$ millones)]]/2</f>
        <v>20.747913999999998</v>
      </c>
      <c r="D192" s="5">
        <v>86186.156584381664</v>
      </c>
      <c r="E192" s="19">
        <f t="shared" si="10"/>
        <v>2.4073371898985291E-6</v>
      </c>
    </row>
    <row r="193" spans="1:5" x14ac:dyDescent="0.25">
      <c r="A193" s="10">
        <v>2000</v>
      </c>
      <c r="B193" s="80">
        <f t="shared" si="9"/>
        <v>35.332606999999996</v>
      </c>
      <c r="C193" s="80">
        <f>Tabla116192640110[[#This Row],[Balanza Comercial Absoluta Colombia 
(US$ millones)]]/2</f>
        <v>17.666303499999998</v>
      </c>
      <c r="D193" s="5">
        <v>99886.577575544405</v>
      </c>
      <c r="E193" s="19">
        <f t="shared" si="10"/>
        <v>1.768636380262297E-6</v>
      </c>
    </row>
    <row r="194" spans="1:5" x14ac:dyDescent="0.25">
      <c r="A194" s="10">
        <v>2001</v>
      </c>
      <c r="B194" s="80">
        <f t="shared" si="9"/>
        <v>38.785896999999999</v>
      </c>
      <c r="C194" s="80">
        <f>Tabla116192640110[[#This Row],[Balanza Comercial Absoluta Colombia 
(US$ millones)]]/2</f>
        <v>19.392948499999999</v>
      </c>
      <c r="D194" s="5">
        <v>98203.544965267793</v>
      </c>
      <c r="E194" s="19">
        <f t="shared" si="10"/>
        <v>1.9747707179877074E-6</v>
      </c>
    </row>
    <row r="195" spans="1:5" x14ac:dyDescent="0.25">
      <c r="A195" s="10">
        <v>2002</v>
      </c>
      <c r="B195" s="80">
        <f t="shared" si="9"/>
        <v>38.935119</v>
      </c>
      <c r="C195" s="80">
        <f>Tabla116192640110[[#This Row],[Balanza Comercial Absoluta Colombia 
(US$ millones)]]/2</f>
        <v>19.4675595</v>
      </c>
      <c r="D195" s="5">
        <v>97933.392356425305</v>
      </c>
      <c r="E195" s="19">
        <f t="shared" si="10"/>
        <v>1.9878367359264417E-6</v>
      </c>
    </row>
    <row r="196" spans="1:5" x14ac:dyDescent="0.25">
      <c r="A196" s="10">
        <v>2003</v>
      </c>
      <c r="B196" s="80">
        <f t="shared" si="9"/>
        <v>59.510576999999998</v>
      </c>
      <c r="C196" s="80">
        <f>Tabla116192640110[[#This Row],[Balanza Comercial Absoluta Colombia 
(US$ millones)]]/2</f>
        <v>29.755288499999999</v>
      </c>
      <c r="D196" s="5">
        <v>94684.582573316715</v>
      </c>
      <c r="E196" s="19">
        <f t="shared" si="10"/>
        <v>3.1425695389172478E-6</v>
      </c>
    </row>
    <row r="197" spans="1:5" x14ac:dyDescent="0.25">
      <c r="A197" s="10">
        <v>2004</v>
      </c>
      <c r="B197" s="80">
        <f t="shared" si="9"/>
        <v>54.612569000000001</v>
      </c>
      <c r="C197" s="80">
        <f>Tabla116192640110[[#This Row],[Balanza Comercial Absoluta Colombia 
(US$ millones)]]/2</f>
        <v>27.3062845</v>
      </c>
      <c r="D197" s="5">
        <v>117074.86551527939</v>
      </c>
      <c r="E197" s="19">
        <f t="shared" si="10"/>
        <v>2.3323780368926641E-6</v>
      </c>
    </row>
    <row r="198" spans="1:5" x14ac:dyDescent="0.25">
      <c r="A198" s="10">
        <v>2005</v>
      </c>
      <c r="B198" s="80">
        <f t="shared" si="9"/>
        <v>62.947782000000004</v>
      </c>
      <c r="C198" s="80">
        <f>Tabla116192640110[[#This Row],[Balanza Comercial Absoluta Colombia 
(US$ millones)]]/2</f>
        <v>31.473891000000002</v>
      </c>
      <c r="D198" s="5">
        <v>146566.26631057015</v>
      </c>
      <c r="E198" s="19">
        <f t="shared" si="10"/>
        <v>2.1474171234810359E-6</v>
      </c>
    </row>
    <row r="199" spans="1:5" x14ac:dyDescent="0.25">
      <c r="A199" s="10">
        <v>2006</v>
      </c>
      <c r="B199" s="80">
        <f t="shared" si="9"/>
        <v>81.527379999999994</v>
      </c>
      <c r="C199" s="80">
        <f>Tabla116192640110[[#This Row],[Balanza Comercial Absoluta Colombia 
(US$ millones)]]/2</f>
        <v>40.763689999999997</v>
      </c>
      <c r="D199" s="5">
        <v>162590.1460964143</v>
      </c>
      <c r="E199" s="19">
        <f t="shared" si="10"/>
        <v>2.5071439431407819E-6</v>
      </c>
    </row>
    <row r="200" spans="1:5" x14ac:dyDescent="0.25">
      <c r="A200" s="10">
        <v>2007</v>
      </c>
      <c r="B200" s="80">
        <f t="shared" si="9"/>
        <v>42.998269000000001</v>
      </c>
      <c r="C200" s="80">
        <f>Tabla116192640110[[#This Row],[Balanza Comercial Absoluta Colombia 
(US$ millones)]]/2</f>
        <v>21.4991345</v>
      </c>
      <c r="D200" s="5">
        <v>207416.49464237894</v>
      </c>
      <c r="E200" s="19">
        <f t="shared" si="10"/>
        <v>1.0365199998711837E-6</v>
      </c>
    </row>
    <row r="201" spans="1:5" x14ac:dyDescent="0.25">
      <c r="A201" s="10">
        <v>2008</v>
      </c>
      <c r="B201" s="80">
        <f t="shared" si="9"/>
        <v>49.922836000000004</v>
      </c>
      <c r="C201" s="80">
        <f>Tabla116192640110[[#This Row],[Balanza Comercial Absoluta Colombia 
(US$ millones)]]/2</f>
        <v>24.961418000000002</v>
      </c>
      <c r="D201" s="5">
        <v>243982.43787084011</v>
      </c>
      <c r="E201" s="19">
        <f t="shared" si="10"/>
        <v>1.0230825717551902E-6</v>
      </c>
    </row>
    <row r="202" spans="1:5" x14ac:dyDescent="0.25">
      <c r="A202" s="10">
        <v>2009</v>
      </c>
      <c r="B202" s="80">
        <f t="shared" si="9"/>
        <v>67.243232000000006</v>
      </c>
      <c r="C202" s="80">
        <f>Tabla116192640110[[#This Row],[Balanza Comercial Absoluta Colombia 
(US$ millones)]]/2</f>
        <v>33.621616000000003</v>
      </c>
      <c r="D202" s="5">
        <v>233821.6705442575</v>
      </c>
      <c r="E202" s="19">
        <f t="shared" si="10"/>
        <v>1.4379170211956954E-6</v>
      </c>
    </row>
    <row r="203" spans="1:5" x14ac:dyDescent="0.25">
      <c r="A203" s="10">
        <v>2010</v>
      </c>
      <c r="B203" s="80">
        <f t="shared" si="9"/>
        <v>94.104317000000009</v>
      </c>
      <c r="C203" s="80">
        <f>Tabla116192640110[[#This Row],[Balanza Comercial Absoluta Colombia 
(US$ millones)]]/2</f>
        <v>47.052158500000004</v>
      </c>
      <c r="D203" s="5">
        <v>287018.18463752925</v>
      </c>
      <c r="E203" s="19">
        <f t="shared" si="10"/>
        <v>1.6393441606991359E-6</v>
      </c>
    </row>
    <row r="204" spans="1:5" x14ac:dyDescent="0.25">
      <c r="A204" s="10">
        <v>2011</v>
      </c>
      <c r="B204" s="80">
        <f t="shared" si="9"/>
        <v>75.518884</v>
      </c>
      <c r="C204" s="80">
        <f>Tabla116192640110[[#This Row],[Balanza Comercial Absoluta Colombia 
(US$ millones)]]/2</f>
        <v>37.759442</v>
      </c>
      <c r="D204" s="5">
        <v>335415.15670218616</v>
      </c>
      <c r="E204" s="19">
        <f t="shared" si="10"/>
        <v>1.1257524069947282E-6</v>
      </c>
    </row>
    <row r="205" spans="1:5" x14ac:dyDescent="0.25">
      <c r="A205" s="10">
        <v>2012</v>
      </c>
      <c r="B205" s="80">
        <f t="shared" si="9"/>
        <v>105.04465399999999</v>
      </c>
      <c r="C205" s="80">
        <f>Tabla116192640110[[#This Row],[Balanza Comercial Absoluta Colombia 
(US$ millones)]]/2</f>
        <v>52.522326999999997</v>
      </c>
      <c r="D205" s="5">
        <v>369659.70037551981</v>
      </c>
      <c r="E205" s="19">
        <f t="shared" si="10"/>
        <v>1.4208291286998567E-6</v>
      </c>
    </row>
    <row r="206" spans="1:5" x14ac:dyDescent="0.25">
      <c r="A206" s="10">
        <v>2013</v>
      </c>
      <c r="B206" s="80">
        <f t="shared" si="9"/>
        <v>71.364041999999998</v>
      </c>
      <c r="C206" s="80">
        <f>Tabla116192640110[[#This Row],[Balanza Comercial Absoluta Colombia 
(US$ millones)]]/2</f>
        <v>35.682020999999999</v>
      </c>
      <c r="D206" s="5">
        <v>380191.88186037214</v>
      </c>
      <c r="E206" s="19">
        <f t="shared" si="10"/>
        <v>9.3852664147901107E-7</v>
      </c>
    </row>
    <row r="207" spans="1:5" x14ac:dyDescent="0.25">
      <c r="A207" s="10">
        <v>2014</v>
      </c>
      <c r="B207" s="80">
        <f t="shared" si="9"/>
        <v>112.912856</v>
      </c>
      <c r="C207" s="80">
        <f>Tabla116192640110[[#This Row],[Balanza Comercial Absoluta Colombia 
(US$ millones)]]/2</f>
        <v>56.456428000000002</v>
      </c>
      <c r="D207" s="5">
        <v>378416.02053371473</v>
      </c>
      <c r="E207" s="19">
        <f t="shared" si="10"/>
        <v>1.491914320127735E-6</v>
      </c>
    </row>
    <row r="208" spans="1:5" x14ac:dyDescent="0.25">
      <c r="A208" s="11">
        <v>2015</v>
      </c>
      <c r="B208" s="80">
        <f t="shared" si="9"/>
        <v>94.852463</v>
      </c>
      <c r="C208" s="85">
        <f>Tabla116192640110[[#This Row],[Balanza Comercial Absoluta Colombia 
(US$ millones)]]/2</f>
        <v>47.4262315</v>
      </c>
      <c r="D208" s="6">
        <v>292080.15563330991</v>
      </c>
      <c r="E208" s="19">
        <f t="shared" si="10"/>
        <v>1.6237402844834464E-6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60" x14ac:dyDescent="0.25">
      <c r="A212" s="28" t="s">
        <v>3</v>
      </c>
      <c r="B212" s="29" t="s">
        <v>148</v>
      </c>
      <c r="C212" s="29" t="s">
        <v>151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80">
        <f t="shared" ref="B213:B237" si="11">B125</f>
        <v>36.323250000000002</v>
      </c>
      <c r="C213" s="80">
        <f>Tabla11617212741111[[#This Row],[Balanza Comercial Absoluta USA
(US$ millones)]]/2</f>
        <v>18.161625000000001</v>
      </c>
      <c r="D213" s="5">
        <v>6174.0429999999997</v>
      </c>
      <c r="E213" s="43">
        <f t="shared" ref="E213:E237" si="12">(C213/D213)/10000</f>
        <v>2.941609736116189E-7</v>
      </c>
    </row>
    <row r="214" spans="1:10" x14ac:dyDescent="0.25">
      <c r="A214" s="31">
        <v>1992</v>
      </c>
      <c r="B214" s="80">
        <f t="shared" si="11"/>
        <v>32.931391999999995</v>
      </c>
      <c r="C214" s="80">
        <f>Tabla11617212741111[[#This Row],[Balanza Comercial Absoluta USA
(US$ millones)]]/2</f>
        <v>16.465695999999998</v>
      </c>
      <c r="D214" s="5">
        <v>6539.299</v>
      </c>
      <c r="E214" s="43">
        <f t="shared" si="12"/>
        <v>2.5179604113529594E-7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80">
        <f t="shared" si="11"/>
        <v>39.969422000000002</v>
      </c>
      <c r="C215" s="80">
        <f>Tabla11617212741111[[#This Row],[Balanza Comercial Absoluta USA
(US$ millones)]]/2</f>
        <v>19.984711000000001</v>
      </c>
      <c r="D215" s="5">
        <v>6878.7179999999998</v>
      </c>
      <c r="E215" s="43">
        <f t="shared" si="12"/>
        <v>2.9052958705386672E-7</v>
      </c>
    </row>
    <row r="216" spans="1:10" x14ac:dyDescent="0.25">
      <c r="A216" s="31">
        <v>1994</v>
      </c>
      <c r="B216" s="80">
        <f t="shared" si="11"/>
        <v>51.140653999999998</v>
      </c>
      <c r="C216" s="80">
        <f>Tabla11617212741111[[#This Row],[Balanza Comercial Absoluta USA
(US$ millones)]]/2</f>
        <v>25.570326999999999</v>
      </c>
      <c r="D216" s="5">
        <v>7308.7550000000001</v>
      </c>
      <c r="E216" s="43">
        <f t="shared" si="12"/>
        <v>3.4985886105089036E-7</v>
      </c>
    </row>
    <row r="217" spans="1:10" x14ac:dyDescent="0.25">
      <c r="A217" s="31">
        <v>1995</v>
      </c>
      <c r="B217" s="80">
        <f t="shared" si="11"/>
        <v>44.837567999999997</v>
      </c>
      <c r="C217" s="80">
        <f>Tabla11617212741111[[#This Row],[Balanza Comercial Absoluta USA
(US$ millones)]]/2</f>
        <v>22.418783999999999</v>
      </c>
      <c r="D217" s="5">
        <v>7664.06</v>
      </c>
      <c r="E217" s="43">
        <f t="shared" si="12"/>
        <v>2.925183779876462E-7</v>
      </c>
    </row>
    <row r="218" spans="1:10" x14ac:dyDescent="0.25">
      <c r="A218" s="31">
        <v>1996</v>
      </c>
      <c r="B218" s="80">
        <f t="shared" si="11"/>
        <v>65.159290999999996</v>
      </c>
      <c r="C218" s="80">
        <f>Tabla11617212741111[[#This Row],[Balanza Comercial Absoluta USA
(US$ millones)]]/2</f>
        <v>32.579645499999998</v>
      </c>
      <c r="D218" s="5">
        <v>8100.201</v>
      </c>
      <c r="E218" s="43">
        <f t="shared" si="12"/>
        <v>4.0220786496532616E-7</v>
      </c>
    </row>
    <row r="219" spans="1:10" x14ac:dyDescent="0.25">
      <c r="A219" s="31">
        <v>1997</v>
      </c>
      <c r="B219" s="80">
        <f t="shared" si="11"/>
        <v>56.681766000000003</v>
      </c>
      <c r="C219" s="80">
        <f>Tabla11617212741111[[#This Row],[Balanza Comercial Absoluta USA
(US$ millones)]]/2</f>
        <v>28.340883000000002</v>
      </c>
      <c r="D219" s="5">
        <v>8608.5149999999994</v>
      </c>
      <c r="E219" s="43">
        <f t="shared" si="12"/>
        <v>3.2921918588746145E-7</v>
      </c>
    </row>
    <row r="220" spans="1:10" x14ac:dyDescent="0.25">
      <c r="A220" s="31">
        <v>1998</v>
      </c>
      <c r="B220" s="80">
        <f t="shared" si="11"/>
        <v>71.914170999999996</v>
      </c>
      <c r="C220" s="80">
        <f>Tabla11617212741111[[#This Row],[Balanza Comercial Absoluta USA
(US$ millones)]]/2</f>
        <v>35.957085499999998</v>
      </c>
      <c r="D220" s="5">
        <v>9089.1679999999997</v>
      </c>
      <c r="E220" s="43">
        <f t="shared" si="12"/>
        <v>3.9560370652187306E-7</v>
      </c>
    </row>
    <row r="221" spans="1:10" x14ac:dyDescent="0.25">
      <c r="A221" s="31">
        <v>1999</v>
      </c>
      <c r="B221" s="80">
        <f t="shared" si="11"/>
        <v>41.495827999999996</v>
      </c>
      <c r="C221" s="80">
        <f>Tabla11617212741111[[#This Row],[Balanza Comercial Absoluta USA
(US$ millones)]]/2</f>
        <v>20.747913999999998</v>
      </c>
      <c r="D221" s="5">
        <v>9660.6239999999998</v>
      </c>
      <c r="E221" s="43">
        <f t="shared" si="12"/>
        <v>2.1476784522407661E-7</v>
      </c>
    </row>
    <row r="222" spans="1:10" x14ac:dyDescent="0.25">
      <c r="A222" s="31">
        <v>2000</v>
      </c>
      <c r="B222" s="80">
        <f t="shared" si="11"/>
        <v>35.332606999999996</v>
      </c>
      <c r="C222" s="80">
        <f>Tabla11617212741111[[#This Row],[Balanza Comercial Absoluta USA
(US$ millones)]]/2</f>
        <v>17.666303499999998</v>
      </c>
      <c r="D222" s="5">
        <v>10284.779</v>
      </c>
      <c r="E222" s="43">
        <f t="shared" si="12"/>
        <v>1.7177134773630038E-7</v>
      </c>
    </row>
    <row r="223" spans="1:10" x14ac:dyDescent="0.25">
      <c r="A223" s="31">
        <v>2001</v>
      </c>
      <c r="B223" s="80">
        <f t="shared" si="11"/>
        <v>38.785896999999999</v>
      </c>
      <c r="C223" s="80">
        <f>Tabla11617212741111[[#This Row],[Balanza Comercial Absoluta USA
(US$ millones)]]/2</f>
        <v>19.392948499999999</v>
      </c>
      <c r="D223" s="5">
        <v>10621.824000000001</v>
      </c>
      <c r="E223" s="43">
        <f t="shared" si="12"/>
        <v>1.825764435562103E-7</v>
      </c>
    </row>
    <row r="224" spans="1:10" x14ac:dyDescent="0.25">
      <c r="A224" s="31">
        <v>2002</v>
      </c>
      <c r="B224" s="80">
        <f t="shared" si="11"/>
        <v>38.935119</v>
      </c>
      <c r="C224" s="80">
        <f>Tabla11617212741111[[#This Row],[Balanza Comercial Absoluta USA
(US$ millones)]]/2</f>
        <v>19.4675595</v>
      </c>
      <c r="D224" s="5">
        <v>10977.513999999999</v>
      </c>
      <c r="E224" s="43">
        <f t="shared" si="12"/>
        <v>1.773403295135857E-7</v>
      </c>
    </row>
    <row r="225" spans="1:5" x14ac:dyDescent="0.25">
      <c r="A225" s="31">
        <v>2003</v>
      </c>
      <c r="B225" s="80">
        <f t="shared" si="11"/>
        <v>59.510576999999998</v>
      </c>
      <c r="C225" s="80">
        <f>Tabla11617212741111[[#This Row],[Balanza Comercial Absoluta USA
(US$ millones)]]/2</f>
        <v>29.755288499999999</v>
      </c>
      <c r="D225" s="5">
        <v>11510.67</v>
      </c>
      <c r="E225" s="43">
        <f t="shared" si="12"/>
        <v>2.5850179442204495E-7</v>
      </c>
    </row>
    <row r="226" spans="1:5" x14ac:dyDescent="0.25">
      <c r="A226" s="31">
        <v>2004</v>
      </c>
      <c r="B226" s="80">
        <f t="shared" si="11"/>
        <v>54.612569000000001</v>
      </c>
      <c r="C226" s="80">
        <f>Tabla11617212741111[[#This Row],[Balanza Comercial Absoluta USA
(US$ millones)]]/2</f>
        <v>27.3062845</v>
      </c>
      <c r="D226" s="5">
        <v>12274.928</v>
      </c>
      <c r="E226" s="43">
        <f t="shared" si="12"/>
        <v>2.2245576104397514E-7</v>
      </c>
    </row>
    <row r="227" spans="1:5" x14ac:dyDescent="0.25">
      <c r="A227" s="31">
        <v>2005</v>
      </c>
      <c r="B227" s="80">
        <f t="shared" si="11"/>
        <v>62.947782000000004</v>
      </c>
      <c r="C227" s="80">
        <f>Tabla11617212741111[[#This Row],[Balanza Comercial Absoluta USA
(US$ millones)]]/2</f>
        <v>31.473891000000002</v>
      </c>
      <c r="D227" s="5">
        <v>13093.726000000001</v>
      </c>
      <c r="E227" s="43">
        <f t="shared" si="12"/>
        <v>2.4037383247518697E-7</v>
      </c>
    </row>
    <row r="228" spans="1:5" x14ac:dyDescent="0.25">
      <c r="A228" s="31">
        <v>2006</v>
      </c>
      <c r="B228" s="80">
        <f t="shared" si="11"/>
        <v>81.527379999999994</v>
      </c>
      <c r="C228" s="80">
        <f>Tabla11617212741111[[#This Row],[Balanza Comercial Absoluta USA
(US$ millones)]]/2</f>
        <v>40.763689999999997</v>
      </c>
      <c r="D228" s="5">
        <v>13855.888000000001</v>
      </c>
      <c r="E228" s="43">
        <f t="shared" si="12"/>
        <v>2.9419760032702338E-7</v>
      </c>
    </row>
    <row r="229" spans="1:5" x14ac:dyDescent="0.25">
      <c r="A229" s="31">
        <v>2007</v>
      </c>
      <c r="B229" s="80">
        <f t="shared" si="11"/>
        <v>42.998269000000001</v>
      </c>
      <c r="C229" s="80">
        <f>Tabla11617212741111[[#This Row],[Balanza Comercial Absoluta USA
(US$ millones)]]/2</f>
        <v>21.4991345</v>
      </c>
      <c r="D229" s="5">
        <v>14477.635</v>
      </c>
      <c r="E229" s="43">
        <f t="shared" si="12"/>
        <v>1.4849893991663693E-7</v>
      </c>
    </row>
    <row r="230" spans="1:5" x14ac:dyDescent="0.25">
      <c r="A230" s="31">
        <v>2008</v>
      </c>
      <c r="B230" s="80">
        <f t="shared" si="11"/>
        <v>49.922836000000004</v>
      </c>
      <c r="C230" s="80">
        <f>Tabla11617212741111[[#This Row],[Balanza Comercial Absoluta USA
(US$ millones)]]/2</f>
        <v>24.961418000000002</v>
      </c>
      <c r="D230" s="5">
        <v>14718.582</v>
      </c>
      <c r="E230" s="43">
        <f t="shared" si="12"/>
        <v>1.6959118752064568E-7</v>
      </c>
    </row>
    <row r="231" spans="1:5" x14ac:dyDescent="0.25">
      <c r="A231" s="31">
        <v>2009</v>
      </c>
      <c r="B231" s="80">
        <f t="shared" si="11"/>
        <v>67.243232000000006</v>
      </c>
      <c r="C231" s="80">
        <f>Tabla11617212741111[[#This Row],[Balanza Comercial Absoluta USA
(US$ millones)]]/2</f>
        <v>33.621616000000003</v>
      </c>
      <c r="D231" s="5">
        <v>14418.739</v>
      </c>
      <c r="E231" s="43">
        <f t="shared" si="12"/>
        <v>2.3318000277278064E-7</v>
      </c>
    </row>
    <row r="232" spans="1:5" x14ac:dyDescent="0.25">
      <c r="A232" s="31">
        <v>2010</v>
      </c>
      <c r="B232" s="80">
        <f t="shared" si="11"/>
        <v>94.104317000000009</v>
      </c>
      <c r="C232" s="80">
        <f>Tabla11617212741111[[#This Row],[Balanza Comercial Absoluta USA
(US$ millones)]]/2</f>
        <v>47.052158500000004</v>
      </c>
      <c r="D232" s="5">
        <v>14964.371999999999</v>
      </c>
      <c r="E232" s="43">
        <f t="shared" si="12"/>
        <v>3.1442788578097369E-7</v>
      </c>
    </row>
    <row r="233" spans="1:5" x14ac:dyDescent="0.25">
      <c r="A233" s="31">
        <v>2011</v>
      </c>
      <c r="B233" s="80">
        <f t="shared" si="11"/>
        <v>75.518884</v>
      </c>
      <c r="C233" s="80">
        <f>Tabla11617212741111[[#This Row],[Balanza Comercial Absoluta USA
(US$ millones)]]/2</f>
        <v>37.759442</v>
      </c>
      <c r="D233" s="5">
        <v>15517.925999999999</v>
      </c>
      <c r="E233" s="43">
        <f t="shared" si="12"/>
        <v>2.4332789059568917E-7</v>
      </c>
    </row>
    <row r="234" spans="1:5" x14ac:dyDescent="0.25">
      <c r="A234" s="31">
        <v>2012</v>
      </c>
      <c r="B234" s="80">
        <f t="shared" si="11"/>
        <v>105.04465399999999</v>
      </c>
      <c r="C234" s="80">
        <f>Tabla11617212741111[[#This Row],[Balanza Comercial Absoluta USA
(US$ millones)]]/2</f>
        <v>52.522326999999997</v>
      </c>
      <c r="D234" s="5">
        <v>16155.254999999999</v>
      </c>
      <c r="E234" s="43">
        <f t="shared" si="12"/>
        <v>3.2510986053763929E-7</v>
      </c>
    </row>
    <row r="235" spans="1:5" x14ac:dyDescent="0.25">
      <c r="A235" s="31">
        <v>2013</v>
      </c>
      <c r="B235" s="80">
        <f t="shared" si="11"/>
        <v>71.364041999999998</v>
      </c>
      <c r="C235" s="80">
        <f>Tabla11617212741111[[#This Row],[Balanza Comercial Absoluta USA
(US$ millones)]]/2</f>
        <v>35.682020999999999</v>
      </c>
      <c r="D235" s="5">
        <v>16663.16</v>
      </c>
      <c r="E235" s="43">
        <f t="shared" si="12"/>
        <v>2.1413718046276935E-7</v>
      </c>
    </row>
    <row r="236" spans="1:5" x14ac:dyDescent="0.25">
      <c r="A236" s="31">
        <v>2014</v>
      </c>
      <c r="B236" s="80">
        <f t="shared" si="11"/>
        <v>112.912856</v>
      </c>
      <c r="C236" s="80">
        <f>Tabla11617212741111[[#This Row],[Balanza Comercial Absoluta USA
(US$ millones)]]/2</f>
        <v>56.456428000000002</v>
      </c>
      <c r="D236" s="5">
        <v>17348.071499999998</v>
      </c>
      <c r="E236" s="43">
        <f t="shared" si="12"/>
        <v>3.2543345235809069E-7</v>
      </c>
    </row>
    <row r="237" spans="1:5" x14ac:dyDescent="0.25">
      <c r="A237" s="31">
        <v>2015</v>
      </c>
      <c r="B237" s="80">
        <f t="shared" si="11"/>
        <v>94.852463</v>
      </c>
      <c r="C237" s="80">
        <f>Tabla11617212741111[[#This Row],[Balanza Comercial Absoluta USA
(US$ millones)]]/2</f>
        <v>47.4262315</v>
      </c>
      <c r="D237" s="5">
        <v>17946.995999999999</v>
      </c>
      <c r="E237" s="43">
        <f t="shared" si="12"/>
        <v>2.6425721329630876E-7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118" zoomScale="80" zoomScaleNormal="80" workbookViewId="0">
      <selection activeCell="D42" sqref="D42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30</v>
      </c>
    </row>
    <row r="4" spans="1:10" x14ac:dyDescent="0.25">
      <c r="A4" s="134" t="s">
        <v>31</v>
      </c>
      <c r="B4" s="134"/>
      <c r="C4" s="134"/>
      <c r="D4" s="134"/>
    </row>
    <row r="5" spans="1:10" ht="60" x14ac:dyDescent="0.25">
      <c r="A5" s="110" t="s">
        <v>3</v>
      </c>
      <c r="B5" s="34" t="s">
        <v>13</v>
      </c>
      <c r="C5" s="34" t="s">
        <v>68</v>
      </c>
      <c r="D5" s="34" t="s">
        <v>38</v>
      </c>
    </row>
    <row r="6" spans="1:10" x14ac:dyDescent="0.25">
      <c r="A6" s="37">
        <v>1991</v>
      </c>
      <c r="B6" s="69">
        <f>'Export 06'!B2</f>
        <v>34.710495999999999</v>
      </c>
      <c r="C6" s="39">
        <v>34830570</v>
      </c>
      <c r="D6" s="82">
        <f t="shared" ref="D6:D30" si="0">(B6*1000000/C6)</f>
        <v>0.99655262604086003</v>
      </c>
      <c r="F6" s="7" t="s">
        <v>69</v>
      </c>
      <c r="I6" s="1" t="s">
        <v>10</v>
      </c>
      <c r="J6" s="7" t="s">
        <v>70</v>
      </c>
    </row>
    <row r="7" spans="1:10" x14ac:dyDescent="0.25">
      <c r="A7" s="38">
        <v>1992</v>
      </c>
      <c r="B7" s="69">
        <f>'Export 06'!B3</f>
        <v>31.046907999999998</v>
      </c>
      <c r="C7" s="40">
        <v>35520940</v>
      </c>
      <c r="D7" s="82">
        <f t="shared" si="0"/>
        <v>0.87404522515451444</v>
      </c>
    </row>
    <row r="8" spans="1:10" x14ac:dyDescent="0.25">
      <c r="A8" s="37">
        <v>1993</v>
      </c>
      <c r="B8" s="69">
        <f>'Export 06'!B4</f>
        <v>38.090372000000002</v>
      </c>
      <c r="C8" s="39">
        <v>36207108</v>
      </c>
      <c r="D8" s="82">
        <f t="shared" si="0"/>
        <v>1.0520136543354968</v>
      </c>
    </row>
    <row r="9" spans="1:10" x14ac:dyDescent="0.25">
      <c r="A9" s="38">
        <v>1994</v>
      </c>
      <c r="B9" s="69">
        <f>'Export 06'!B5</f>
        <v>47.060023999999999</v>
      </c>
      <c r="C9" s="40">
        <v>36853905</v>
      </c>
      <c r="D9" s="82">
        <f t="shared" si="0"/>
        <v>1.2769345338031344</v>
      </c>
    </row>
    <row r="10" spans="1:10" x14ac:dyDescent="0.25">
      <c r="A10" s="37">
        <v>1995</v>
      </c>
      <c r="B10" s="69">
        <f>'Export 06'!B6</f>
        <v>41.068123999999997</v>
      </c>
      <c r="C10" s="39">
        <v>37472184</v>
      </c>
      <c r="D10" s="82">
        <f t="shared" si="0"/>
        <v>1.0959629147850043</v>
      </c>
    </row>
    <row r="11" spans="1:10" x14ac:dyDescent="0.25">
      <c r="A11" s="38">
        <v>1996</v>
      </c>
      <c r="B11" s="69">
        <f>'Export 06'!B7</f>
        <v>60.505304000000002</v>
      </c>
      <c r="C11" s="40">
        <v>38068050</v>
      </c>
      <c r="D11" s="82">
        <f t="shared" si="0"/>
        <v>1.5893985638875645</v>
      </c>
    </row>
    <row r="12" spans="1:10" x14ac:dyDescent="0.25">
      <c r="A12" s="37">
        <v>1997</v>
      </c>
      <c r="B12" s="69">
        <f>'Export 06'!B8</f>
        <v>51.986088000000002</v>
      </c>
      <c r="C12" s="39">
        <v>38635691</v>
      </c>
      <c r="D12" s="82">
        <f t="shared" si="0"/>
        <v>1.3455457028062472</v>
      </c>
    </row>
    <row r="13" spans="1:10" x14ac:dyDescent="0.25">
      <c r="A13" s="38">
        <v>1998</v>
      </c>
      <c r="B13" s="69">
        <f>'Export 06'!B9</f>
        <v>66.543272000000002</v>
      </c>
      <c r="C13" s="40">
        <v>39184456</v>
      </c>
      <c r="D13" s="82">
        <f t="shared" si="0"/>
        <v>1.6982058395808788</v>
      </c>
    </row>
    <row r="14" spans="1:10" x14ac:dyDescent="0.25">
      <c r="A14" s="37">
        <v>1999</v>
      </c>
      <c r="B14" s="69">
        <f>'Export 06'!B10</f>
        <v>35.998551999999997</v>
      </c>
      <c r="C14" s="39">
        <v>39730798</v>
      </c>
      <c r="D14" s="82">
        <f t="shared" si="0"/>
        <v>0.90606164014123247</v>
      </c>
    </row>
    <row r="15" spans="1:10" x14ac:dyDescent="0.25">
      <c r="A15" s="38">
        <v>2000</v>
      </c>
      <c r="B15" s="69">
        <f>'Export 06'!B11</f>
        <v>31.175438</v>
      </c>
      <c r="C15" s="40">
        <v>40295563</v>
      </c>
      <c r="D15" s="82">
        <f t="shared" si="0"/>
        <v>0.77366924988738839</v>
      </c>
    </row>
    <row r="16" spans="1:10" x14ac:dyDescent="0.25">
      <c r="A16" s="37">
        <v>2001</v>
      </c>
      <c r="B16" s="69">
        <f>'Export 06'!B12</f>
        <v>34.390827000000002</v>
      </c>
      <c r="C16" s="39">
        <v>40813541</v>
      </c>
      <c r="D16" s="82">
        <f t="shared" si="0"/>
        <v>0.84263276739452719</v>
      </c>
    </row>
    <row r="17" spans="1:4" x14ac:dyDescent="0.25">
      <c r="A17" s="38">
        <v>2002</v>
      </c>
      <c r="B17" s="69">
        <f>'Export 06'!B13</f>
        <v>35.354666000000002</v>
      </c>
      <c r="C17" s="40">
        <v>41328824</v>
      </c>
      <c r="D17" s="82">
        <f t="shared" si="0"/>
        <v>0.8554481492142143</v>
      </c>
    </row>
    <row r="18" spans="1:4" x14ac:dyDescent="0.25">
      <c r="A18" s="37">
        <v>2003</v>
      </c>
      <c r="B18" s="69">
        <f>'Export 06'!B14</f>
        <v>56.438361</v>
      </c>
      <c r="C18" s="39">
        <v>41848959</v>
      </c>
      <c r="D18" s="82">
        <f t="shared" si="0"/>
        <v>1.3486204280493572</v>
      </c>
    </row>
    <row r="19" spans="1:4" x14ac:dyDescent="0.25">
      <c r="A19" s="38">
        <v>2004</v>
      </c>
      <c r="B19" s="69">
        <f>'Export 06'!B15</f>
        <v>50.564785000000001</v>
      </c>
      <c r="C19" s="40">
        <v>42368489</v>
      </c>
      <c r="D19" s="82">
        <f t="shared" si="0"/>
        <v>1.1934526388231594</v>
      </c>
    </row>
    <row r="20" spans="1:4" x14ac:dyDescent="0.25">
      <c r="A20" s="37">
        <v>2005</v>
      </c>
      <c r="B20" s="69">
        <f>'Export 06'!B16</f>
        <v>58.066253000000003</v>
      </c>
      <c r="C20" s="39">
        <v>42888592</v>
      </c>
      <c r="D20" s="82">
        <f t="shared" si="0"/>
        <v>1.3538857372608548</v>
      </c>
    </row>
    <row r="21" spans="1:4" x14ac:dyDescent="0.25">
      <c r="A21" s="38">
        <v>2006</v>
      </c>
      <c r="B21" s="69">
        <f>'Export 06'!B17</f>
        <v>74.293081999999998</v>
      </c>
      <c r="C21" s="40">
        <v>43405956</v>
      </c>
      <c r="D21" s="82">
        <f t="shared" si="0"/>
        <v>1.7115872761793336</v>
      </c>
    </row>
    <row r="22" spans="1:4" x14ac:dyDescent="0.25">
      <c r="A22" s="37">
        <v>2007</v>
      </c>
      <c r="B22" s="69">
        <f>'Export 06'!B18</f>
        <v>31.500926</v>
      </c>
      <c r="C22" s="39">
        <v>43926929</v>
      </c>
      <c r="D22" s="82">
        <f t="shared" si="0"/>
        <v>0.71712106257189068</v>
      </c>
    </row>
    <row r="23" spans="1:4" x14ac:dyDescent="0.25">
      <c r="A23" s="38">
        <v>2008</v>
      </c>
      <c r="B23" s="69">
        <f>'Export 06'!B19</f>
        <v>38.706232</v>
      </c>
      <c r="C23" s="40">
        <v>44451147</v>
      </c>
      <c r="D23" s="82">
        <f t="shared" si="0"/>
        <v>0.87075890302673176</v>
      </c>
    </row>
    <row r="24" spans="1:4" x14ac:dyDescent="0.25">
      <c r="A24" s="37">
        <v>2009</v>
      </c>
      <c r="B24" s="69">
        <f>'Export 06'!B20</f>
        <v>60.260446999999999</v>
      </c>
      <c r="C24" s="39">
        <v>44978832</v>
      </c>
      <c r="D24" s="82">
        <f t="shared" si="0"/>
        <v>1.339751263438766</v>
      </c>
    </row>
    <row r="25" spans="1:4" x14ac:dyDescent="0.25">
      <c r="A25" s="38">
        <v>2010</v>
      </c>
      <c r="B25" s="69">
        <f>'Export 06'!B21</f>
        <v>87.062790000000007</v>
      </c>
      <c r="C25" s="40">
        <v>45509584</v>
      </c>
      <c r="D25" s="82">
        <f t="shared" si="0"/>
        <v>1.9130649491324729</v>
      </c>
    </row>
    <row r="26" spans="1:4" x14ac:dyDescent="0.25">
      <c r="A26" s="37">
        <v>2011</v>
      </c>
      <c r="B26" s="69">
        <f>'Export 06'!B22</f>
        <v>66.103155999999998</v>
      </c>
      <c r="C26" s="39">
        <v>46044601</v>
      </c>
      <c r="D26" s="82">
        <f t="shared" si="0"/>
        <v>1.4356331592492244</v>
      </c>
    </row>
    <row r="27" spans="1:4" x14ac:dyDescent="0.25">
      <c r="A27" s="38">
        <v>2012</v>
      </c>
      <c r="B27" s="69">
        <f>'Export 06'!B23</f>
        <v>89.009129999999999</v>
      </c>
      <c r="C27" s="40">
        <v>46581823</v>
      </c>
      <c r="D27" s="82">
        <f t="shared" si="0"/>
        <v>1.9108125072734916</v>
      </c>
    </row>
    <row r="28" spans="1:4" x14ac:dyDescent="0.25">
      <c r="A28" s="37">
        <v>2013</v>
      </c>
      <c r="B28" s="69">
        <f>'Export 06'!B24</f>
        <v>55.238146</v>
      </c>
      <c r="C28" s="39">
        <v>47121089</v>
      </c>
      <c r="D28" s="82">
        <f t="shared" si="0"/>
        <v>1.1722595375501614</v>
      </c>
    </row>
    <row r="29" spans="1:4" x14ac:dyDescent="0.25">
      <c r="A29" s="38">
        <v>2014</v>
      </c>
      <c r="B29" s="69">
        <f>'Export 06'!B25</f>
        <v>97.503679000000005</v>
      </c>
      <c r="C29" s="40">
        <v>47661787</v>
      </c>
      <c r="D29" s="82">
        <f t="shared" si="0"/>
        <v>2.0457411510818928</v>
      </c>
    </row>
    <row r="30" spans="1:4" x14ac:dyDescent="0.25">
      <c r="A30" s="37">
        <v>2015</v>
      </c>
      <c r="B30" s="69">
        <f>'Export 06'!B26</f>
        <v>81.490409</v>
      </c>
      <c r="C30" s="39">
        <v>48203405</v>
      </c>
      <c r="D30" s="82">
        <f t="shared" si="0"/>
        <v>1.6905529598998246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110" t="s">
        <v>3</v>
      </c>
      <c r="B35" s="34" t="s">
        <v>33</v>
      </c>
      <c r="C35" s="34" t="s">
        <v>68</v>
      </c>
      <c r="D35" s="34" t="s">
        <v>129</v>
      </c>
    </row>
    <row r="36" spans="1:10" x14ac:dyDescent="0.25">
      <c r="A36" s="37">
        <v>1991</v>
      </c>
      <c r="B36" s="69">
        <f>'Import 06'!B2</f>
        <v>1.612754</v>
      </c>
      <c r="C36" s="39">
        <v>34830570</v>
      </c>
      <c r="D36" s="81">
        <f t="shared" ref="D36:D60" si="1">(B36/C36)*1000000</f>
        <v>4.630283110497474E-2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69">
        <f>'Import 06'!B3</f>
        <v>1.884484</v>
      </c>
      <c r="C37" s="40">
        <v>35520940</v>
      </c>
      <c r="D37" s="81">
        <f t="shared" si="1"/>
        <v>5.3052762680266909E-2</v>
      </c>
    </row>
    <row r="38" spans="1:10" x14ac:dyDescent="0.25">
      <c r="A38" s="37">
        <v>1993</v>
      </c>
      <c r="B38" s="69">
        <f>'Import 06'!B4</f>
        <v>1.8790500000000001</v>
      </c>
      <c r="C38" s="39">
        <v>36207108</v>
      </c>
      <c r="D38" s="81">
        <f t="shared" si="1"/>
        <v>5.1897268348524275E-2</v>
      </c>
    </row>
    <row r="39" spans="1:10" x14ac:dyDescent="0.25">
      <c r="A39" s="38">
        <v>1994</v>
      </c>
      <c r="B39" s="69">
        <f>'Import 06'!B5</f>
        <v>4.0806300000000002</v>
      </c>
      <c r="C39" s="40">
        <v>36853905</v>
      </c>
      <c r="D39" s="81">
        <f t="shared" si="1"/>
        <v>0.11072449445994938</v>
      </c>
    </row>
    <row r="40" spans="1:10" x14ac:dyDescent="0.25">
      <c r="A40" s="37">
        <v>1995</v>
      </c>
      <c r="B40" s="69">
        <f>'Import 06'!B6</f>
        <v>3.769444</v>
      </c>
      <c r="C40" s="39">
        <v>37472184</v>
      </c>
      <c r="D40" s="81">
        <f t="shared" si="1"/>
        <v>0.10059312262130224</v>
      </c>
    </row>
    <row r="41" spans="1:10" x14ac:dyDescent="0.25">
      <c r="A41" s="38">
        <v>1996</v>
      </c>
      <c r="B41" s="69">
        <f>'Import 06'!B7</f>
        <v>4.6539869999999999</v>
      </c>
      <c r="C41" s="40">
        <v>38068050</v>
      </c>
      <c r="D41" s="81">
        <f t="shared" si="1"/>
        <v>0.12225441019437559</v>
      </c>
    </row>
    <row r="42" spans="1:10" x14ac:dyDescent="0.25">
      <c r="A42" s="37">
        <v>1997</v>
      </c>
      <c r="B42" s="69">
        <f>'Import 06'!B8</f>
        <v>4.695678</v>
      </c>
      <c r="C42" s="39">
        <v>38635691</v>
      </c>
      <c r="D42" s="81">
        <f t="shared" si="1"/>
        <v>0.12153731118721289</v>
      </c>
    </row>
    <row r="43" spans="1:10" x14ac:dyDescent="0.25">
      <c r="A43" s="38">
        <v>1998</v>
      </c>
      <c r="B43" s="69">
        <f>'Import 06'!B9</f>
        <v>5.3708989999999996</v>
      </c>
      <c r="C43" s="40">
        <v>39184456</v>
      </c>
      <c r="D43" s="81">
        <f t="shared" si="1"/>
        <v>0.13706708088533881</v>
      </c>
    </row>
    <row r="44" spans="1:10" x14ac:dyDescent="0.25">
      <c r="A44" s="37">
        <v>1999</v>
      </c>
      <c r="B44" s="69">
        <f>'Import 06'!B10</f>
        <v>5.4972760000000003</v>
      </c>
      <c r="C44" s="39">
        <v>39730798</v>
      </c>
      <c r="D44" s="81">
        <f t="shared" si="1"/>
        <v>0.13836309051733622</v>
      </c>
    </row>
    <row r="45" spans="1:10" x14ac:dyDescent="0.25">
      <c r="A45" s="38">
        <v>2000</v>
      </c>
      <c r="B45" s="69">
        <f>'Import 06'!B11</f>
        <v>4.1571689999999997</v>
      </c>
      <c r="C45" s="40">
        <v>40295563</v>
      </c>
      <c r="D45" s="81">
        <f t="shared" si="1"/>
        <v>0.10316691691340805</v>
      </c>
    </row>
    <row r="46" spans="1:10" x14ac:dyDescent="0.25">
      <c r="A46" s="37">
        <v>2001</v>
      </c>
      <c r="B46" s="69">
        <f>'Import 06'!B12</f>
        <v>4.3950699999999996</v>
      </c>
      <c r="C46" s="39">
        <v>40813541</v>
      </c>
      <c r="D46" s="81">
        <f t="shared" si="1"/>
        <v>0.10768656412341188</v>
      </c>
    </row>
    <row r="47" spans="1:10" x14ac:dyDescent="0.25">
      <c r="A47" s="38">
        <v>2002</v>
      </c>
      <c r="B47" s="69">
        <f>'Import 06'!B13</f>
        <v>3.5804529999999999</v>
      </c>
      <c r="C47" s="40">
        <v>41328824</v>
      </c>
      <c r="D47" s="81">
        <f t="shared" si="1"/>
        <v>8.6633314318355636E-2</v>
      </c>
    </row>
    <row r="48" spans="1:10" x14ac:dyDescent="0.25">
      <c r="A48" s="37">
        <v>2003</v>
      </c>
      <c r="B48" s="69">
        <f>'Import 06'!B14</f>
        <v>3.0722160000000001</v>
      </c>
      <c r="C48" s="39">
        <v>41848959</v>
      </c>
      <c r="D48" s="81">
        <f t="shared" si="1"/>
        <v>7.3412005302210745E-2</v>
      </c>
    </row>
    <row r="49" spans="1:4" x14ac:dyDescent="0.25">
      <c r="A49" s="38">
        <v>2004</v>
      </c>
      <c r="B49" s="69">
        <f>'Import 06'!B15</f>
        <v>4.047784</v>
      </c>
      <c r="C49" s="40">
        <v>42368489</v>
      </c>
      <c r="D49" s="81">
        <f t="shared" si="1"/>
        <v>9.5537605790001146E-2</v>
      </c>
    </row>
    <row r="50" spans="1:4" x14ac:dyDescent="0.25">
      <c r="A50" s="37">
        <v>2005</v>
      </c>
      <c r="B50" s="69">
        <f>'Import 06'!B16</f>
        <v>4.8815289999999996</v>
      </c>
      <c r="C50" s="39">
        <v>42888592</v>
      </c>
      <c r="D50" s="81">
        <f t="shared" si="1"/>
        <v>0.11381882156448501</v>
      </c>
    </row>
    <row r="51" spans="1:4" x14ac:dyDescent="0.25">
      <c r="A51" s="38">
        <v>2006</v>
      </c>
      <c r="B51" s="69">
        <f>'Import 06'!B17</f>
        <v>7.2342979999999999</v>
      </c>
      <c r="C51" s="40">
        <v>43405956</v>
      </c>
      <c r="D51" s="81">
        <f t="shared" si="1"/>
        <v>0.1666660215939029</v>
      </c>
    </row>
    <row r="52" spans="1:4" x14ac:dyDescent="0.25">
      <c r="A52" s="37">
        <v>2007</v>
      </c>
      <c r="B52" s="69">
        <f>'Import 06'!B18</f>
        <v>11.497343000000001</v>
      </c>
      <c r="C52" s="39">
        <v>43926929</v>
      </c>
      <c r="D52" s="81">
        <f t="shared" si="1"/>
        <v>0.26173791935238633</v>
      </c>
    </row>
    <row r="53" spans="1:4" x14ac:dyDescent="0.25">
      <c r="A53" s="38">
        <v>2008</v>
      </c>
      <c r="B53" s="69">
        <f>'Import 06'!B19</f>
        <v>11.216604</v>
      </c>
      <c r="C53" s="40">
        <v>44451147</v>
      </c>
      <c r="D53" s="81">
        <f t="shared" si="1"/>
        <v>0.25233553590866847</v>
      </c>
    </row>
    <row r="54" spans="1:4" x14ac:dyDescent="0.25">
      <c r="A54" s="37">
        <v>2009</v>
      </c>
      <c r="B54" s="69">
        <f>'Import 06'!B20</f>
        <v>6.9827849999999998</v>
      </c>
      <c r="C54" s="39">
        <v>44978832</v>
      </c>
      <c r="D54" s="81">
        <f t="shared" si="1"/>
        <v>0.15524602773144489</v>
      </c>
    </row>
    <row r="55" spans="1:4" x14ac:dyDescent="0.25">
      <c r="A55" s="38">
        <v>2010</v>
      </c>
      <c r="B55" s="69">
        <f>'Import 06'!B21</f>
        <v>7.0415270000000003</v>
      </c>
      <c r="C55" s="40">
        <v>45509584</v>
      </c>
      <c r="D55" s="81">
        <f t="shared" si="1"/>
        <v>0.15472624403686044</v>
      </c>
    </row>
    <row r="56" spans="1:4" x14ac:dyDescent="0.25">
      <c r="A56" s="37">
        <v>2011</v>
      </c>
      <c r="B56" s="69">
        <f>'Import 06'!B22</f>
        <v>9.4157279999999997</v>
      </c>
      <c r="C56" s="39">
        <v>46044601</v>
      </c>
      <c r="D56" s="81">
        <f t="shared" si="1"/>
        <v>0.20449146687143624</v>
      </c>
    </row>
    <row r="57" spans="1:4" x14ac:dyDescent="0.25">
      <c r="A57" s="38">
        <v>2012</v>
      </c>
      <c r="B57" s="69">
        <f>'Import 06'!B23</f>
        <v>16.035523999999999</v>
      </c>
      <c r="C57" s="40">
        <v>46581823</v>
      </c>
      <c r="D57" s="81">
        <f t="shared" si="1"/>
        <v>0.34424423449464397</v>
      </c>
    </row>
    <row r="58" spans="1:4" x14ac:dyDescent="0.25">
      <c r="A58" s="37">
        <v>2013</v>
      </c>
      <c r="B58" s="69">
        <f>'Import 06'!B24</f>
        <v>16.125896000000001</v>
      </c>
      <c r="C58" s="39">
        <v>47121089</v>
      </c>
      <c r="D58" s="81">
        <f t="shared" si="1"/>
        <v>0.34222248131829042</v>
      </c>
    </row>
    <row r="59" spans="1:4" x14ac:dyDescent="0.25">
      <c r="A59" s="38">
        <v>2014</v>
      </c>
      <c r="B59" s="69">
        <f>'Import 06'!B25</f>
        <v>15.409177</v>
      </c>
      <c r="C59" s="40">
        <v>47661787</v>
      </c>
      <c r="D59" s="81">
        <f t="shared" si="1"/>
        <v>0.32330254423737825</v>
      </c>
    </row>
    <row r="60" spans="1:4" x14ac:dyDescent="0.25">
      <c r="A60" s="37">
        <v>2015</v>
      </c>
      <c r="B60" s="69">
        <f>'Import 06'!B26</f>
        <v>13.362054000000001</v>
      </c>
      <c r="C60" s="39">
        <v>48203405</v>
      </c>
      <c r="D60" s="81">
        <f t="shared" si="1"/>
        <v>0.27720145495945775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110" t="s">
        <v>3</v>
      </c>
      <c r="B64" s="34" t="s">
        <v>65</v>
      </c>
      <c r="C64" s="34" t="s">
        <v>68</v>
      </c>
      <c r="D64" s="34" t="s">
        <v>132</v>
      </c>
    </row>
    <row r="65" spans="1:10" x14ac:dyDescent="0.25">
      <c r="A65" s="37">
        <v>1991</v>
      </c>
      <c r="B65" s="69">
        <f>'Apertura 06'!B213</f>
        <v>36.323250000000002</v>
      </c>
      <c r="C65" s="39">
        <v>34830570</v>
      </c>
      <c r="D65" s="35">
        <f t="shared" ref="D65:D89" si="2">(B65/C65)*1000000</f>
        <v>1.0428554571458348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69">
        <f>'Apertura 06'!B214</f>
        <v>32.931391999999995</v>
      </c>
      <c r="C66" s="40">
        <v>35520940</v>
      </c>
      <c r="D66" s="35">
        <f t="shared" si="2"/>
        <v>0.92709798783478126</v>
      </c>
    </row>
    <row r="67" spans="1:10" x14ac:dyDescent="0.25">
      <c r="A67" s="37">
        <v>1993</v>
      </c>
      <c r="B67" s="69">
        <f>'Apertura 06'!B215</f>
        <v>39.969422000000002</v>
      </c>
      <c r="C67" s="39">
        <v>36207108</v>
      </c>
      <c r="D67" s="35">
        <f t="shared" si="2"/>
        <v>1.1039109226840211</v>
      </c>
    </row>
    <row r="68" spans="1:10" x14ac:dyDescent="0.25">
      <c r="A68" s="38">
        <v>1994</v>
      </c>
      <c r="B68" s="69">
        <f>'Apertura 06'!B216</f>
        <v>51.140653999999998</v>
      </c>
      <c r="C68" s="40">
        <v>36853905</v>
      </c>
      <c r="D68" s="35">
        <f t="shared" si="2"/>
        <v>1.3876590282630836</v>
      </c>
    </row>
    <row r="69" spans="1:10" x14ac:dyDescent="0.25">
      <c r="A69" s="37">
        <v>1995</v>
      </c>
      <c r="B69" s="69">
        <f>'Apertura 06'!B217</f>
        <v>44.837567999999997</v>
      </c>
      <c r="C69" s="39">
        <v>37472184</v>
      </c>
      <c r="D69" s="35">
        <f t="shared" si="2"/>
        <v>1.1965560374063064</v>
      </c>
    </row>
    <row r="70" spans="1:10" x14ac:dyDescent="0.25">
      <c r="A70" s="38">
        <v>1996</v>
      </c>
      <c r="B70" s="69">
        <f>'Apertura 06'!B218</f>
        <v>65.159290999999996</v>
      </c>
      <c r="C70" s="40">
        <v>38068050</v>
      </c>
      <c r="D70" s="35">
        <f t="shared" si="2"/>
        <v>1.7116529740819399</v>
      </c>
    </row>
    <row r="71" spans="1:10" x14ac:dyDescent="0.25">
      <c r="A71" s="37">
        <v>1997</v>
      </c>
      <c r="B71" s="69">
        <f>'Apertura 06'!B219</f>
        <v>56.681766000000003</v>
      </c>
      <c r="C71" s="39">
        <v>38635691</v>
      </c>
      <c r="D71" s="35">
        <f t="shared" si="2"/>
        <v>1.4670830139934601</v>
      </c>
    </row>
    <row r="72" spans="1:10" x14ac:dyDescent="0.25">
      <c r="A72" s="38">
        <v>1998</v>
      </c>
      <c r="B72" s="69">
        <f>'Apertura 06'!B220</f>
        <v>71.914170999999996</v>
      </c>
      <c r="C72" s="40">
        <v>39184456</v>
      </c>
      <c r="D72" s="35">
        <f t="shared" si="2"/>
        <v>1.8352729204662173</v>
      </c>
    </row>
    <row r="73" spans="1:10" x14ac:dyDescent="0.25">
      <c r="A73" s="37">
        <v>1999</v>
      </c>
      <c r="B73" s="69">
        <f>'Apertura 06'!B221</f>
        <v>41.495827999999996</v>
      </c>
      <c r="C73" s="39">
        <v>39730798</v>
      </c>
      <c r="D73" s="35">
        <f t="shared" si="2"/>
        <v>1.0444247306585686</v>
      </c>
    </row>
    <row r="74" spans="1:10" x14ac:dyDescent="0.25">
      <c r="A74" s="38">
        <v>2000</v>
      </c>
      <c r="B74" s="69">
        <f>'Apertura 06'!B222</f>
        <v>35.332606999999996</v>
      </c>
      <c r="C74" s="40">
        <v>40295563</v>
      </c>
      <c r="D74" s="35">
        <f t="shared" si="2"/>
        <v>0.87683616680079635</v>
      </c>
    </row>
    <row r="75" spans="1:10" x14ac:dyDescent="0.25">
      <c r="A75" s="37">
        <v>2001</v>
      </c>
      <c r="B75" s="69">
        <f>'Apertura 06'!B223</f>
        <v>38.785896999999999</v>
      </c>
      <c r="C75" s="39">
        <v>40813541</v>
      </c>
      <c r="D75" s="35">
        <f t="shared" si="2"/>
        <v>0.95031933151793913</v>
      </c>
    </row>
    <row r="76" spans="1:10" x14ac:dyDescent="0.25">
      <c r="A76" s="38">
        <v>2002</v>
      </c>
      <c r="B76" s="69">
        <f>'Apertura 06'!B224</f>
        <v>38.935119</v>
      </c>
      <c r="C76" s="40">
        <v>41328824</v>
      </c>
      <c r="D76" s="35">
        <f t="shared" si="2"/>
        <v>0.94208146353256994</v>
      </c>
    </row>
    <row r="77" spans="1:10" x14ac:dyDescent="0.25">
      <c r="A77" s="37">
        <v>2003</v>
      </c>
      <c r="B77" s="69">
        <f>'Apertura 06'!B225</f>
        <v>59.510576999999998</v>
      </c>
      <c r="C77" s="39">
        <v>41848959</v>
      </c>
      <c r="D77" s="35">
        <f t="shared" si="2"/>
        <v>1.4220324333515679</v>
      </c>
    </row>
    <row r="78" spans="1:10" x14ac:dyDescent="0.25">
      <c r="A78" s="38">
        <v>2004</v>
      </c>
      <c r="B78" s="69">
        <f>'Apertura 06'!B226</f>
        <v>54.612569000000001</v>
      </c>
      <c r="C78" s="40">
        <v>42368489</v>
      </c>
      <c r="D78" s="35">
        <f t="shared" si="2"/>
        <v>1.2889902446131605</v>
      </c>
    </row>
    <row r="79" spans="1:10" x14ac:dyDescent="0.25">
      <c r="A79" s="37">
        <v>2005</v>
      </c>
      <c r="B79" s="69">
        <f>'Apertura 06'!B227</f>
        <v>62.947782000000004</v>
      </c>
      <c r="C79" s="39">
        <v>42888592</v>
      </c>
      <c r="D79" s="35">
        <f t="shared" si="2"/>
        <v>1.4677045588253399</v>
      </c>
    </row>
    <row r="80" spans="1:10" x14ac:dyDescent="0.25">
      <c r="A80" s="38">
        <v>2006</v>
      </c>
      <c r="B80" s="69">
        <f>'Apertura 06'!B228</f>
        <v>81.527379999999994</v>
      </c>
      <c r="C80" s="40">
        <v>43405956</v>
      </c>
      <c r="D80" s="35">
        <f t="shared" si="2"/>
        <v>1.8782532977732362</v>
      </c>
    </row>
    <row r="81" spans="1:4" x14ac:dyDescent="0.25">
      <c r="A81" s="37">
        <v>2007</v>
      </c>
      <c r="B81" s="69">
        <f>'Apertura 06'!B229</f>
        <v>42.998269000000001</v>
      </c>
      <c r="C81" s="39">
        <v>43926929</v>
      </c>
      <c r="D81" s="35">
        <f t="shared" si="2"/>
        <v>0.97885898192427712</v>
      </c>
    </row>
    <row r="82" spans="1:4" x14ac:dyDescent="0.25">
      <c r="A82" s="38">
        <v>2008</v>
      </c>
      <c r="B82" s="69">
        <f>'Apertura 06'!B230</f>
        <v>49.922836000000004</v>
      </c>
      <c r="C82" s="40">
        <v>44451147</v>
      </c>
      <c r="D82" s="35">
        <f t="shared" si="2"/>
        <v>1.1230944389354003</v>
      </c>
    </row>
    <row r="83" spans="1:4" x14ac:dyDescent="0.25">
      <c r="A83" s="37">
        <v>2009</v>
      </c>
      <c r="B83" s="69">
        <f>'Apertura 06'!B231</f>
        <v>67.243232000000006</v>
      </c>
      <c r="C83" s="39">
        <v>44978832</v>
      </c>
      <c r="D83" s="35">
        <f t="shared" si="2"/>
        <v>1.494997291170211</v>
      </c>
    </row>
    <row r="84" spans="1:4" x14ac:dyDescent="0.25">
      <c r="A84" s="38">
        <v>2010</v>
      </c>
      <c r="B84" s="69">
        <f>'Apertura 06'!B232</f>
        <v>94.104317000000009</v>
      </c>
      <c r="C84" s="40">
        <v>45509584</v>
      </c>
      <c r="D84" s="35">
        <f t="shared" si="2"/>
        <v>2.0677911931693336</v>
      </c>
    </row>
    <row r="85" spans="1:4" x14ac:dyDescent="0.25">
      <c r="A85" s="37">
        <v>2011</v>
      </c>
      <c r="B85" s="69">
        <f>'Apertura 06'!B233</f>
        <v>75.518884</v>
      </c>
      <c r="C85" s="39">
        <v>46044601</v>
      </c>
      <c r="D85" s="35">
        <f t="shared" si="2"/>
        <v>1.6401246261206606</v>
      </c>
    </row>
    <row r="86" spans="1:4" x14ac:dyDescent="0.25">
      <c r="A86" s="38">
        <v>2012</v>
      </c>
      <c r="B86" s="69">
        <f>'Apertura 06'!B234</f>
        <v>105.04465399999999</v>
      </c>
      <c r="C86" s="40">
        <v>46581823</v>
      </c>
      <c r="D86" s="35">
        <f t="shared" si="2"/>
        <v>2.2550567417681355</v>
      </c>
    </row>
    <row r="87" spans="1:4" x14ac:dyDescent="0.25">
      <c r="A87" s="37">
        <v>2013</v>
      </c>
      <c r="B87" s="69">
        <f>'Apertura 06'!B235</f>
        <v>71.364041999999998</v>
      </c>
      <c r="C87" s="39">
        <v>47121089</v>
      </c>
      <c r="D87" s="35">
        <f t="shared" si="2"/>
        <v>1.514482018868452</v>
      </c>
    </row>
    <row r="88" spans="1:4" x14ac:dyDescent="0.25">
      <c r="A88" s="38">
        <v>2014</v>
      </c>
      <c r="B88" s="69">
        <f>'Apertura 06'!B236</f>
        <v>112.912856</v>
      </c>
      <c r="C88" s="40">
        <v>47661787</v>
      </c>
      <c r="D88" s="35">
        <f t="shared" si="2"/>
        <v>2.3690436953192711</v>
      </c>
    </row>
    <row r="89" spans="1:4" x14ac:dyDescent="0.25">
      <c r="A89" s="37">
        <v>2015</v>
      </c>
      <c r="B89" s="69">
        <f>'Apertura 06'!B237</f>
        <v>94.852463</v>
      </c>
      <c r="C89" s="39">
        <v>48203405</v>
      </c>
      <c r="D89" s="35">
        <f t="shared" si="2"/>
        <v>1.9677544148592823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110" t="s">
        <v>3</v>
      </c>
      <c r="B96" s="34" t="s">
        <v>8</v>
      </c>
      <c r="C96" s="34" t="s">
        <v>35</v>
      </c>
      <c r="D96" s="34" t="s">
        <v>38</v>
      </c>
    </row>
    <row r="97" spans="1:11" x14ac:dyDescent="0.25">
      <c r="A97" s="37">
        <v>1991</v>
      </c>
      <c r="B97" s="69">
        <f t="shared" ref="B97:B121" si="3">B36</f>
        <v>1.612754</v>
      </c>
      <c r="C97" s="39">
        <v>253620000</v>
      </c>
      <c r="D97" s="35">
        <f t="shared" ref="D97:D121" si="4">(B97/C97)*1000000</f>
        <v>6.3589385695134457E-3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69">
        <f t="shared" si="3"/>
        <v>1.884484</v>
      </c>
      <c r="C98" s="40">
        <v>256516000</v>
      </c>
      <c r="D98" s="35">
        <f t="shared" si="4"/>
        <v>7.3464579207534811E-3</v>
      </c>
    </row>
    <row r="99" spans="1:11" x14ac:dyDescent="0.25">
      <c r="A99" s="37">
        <v>1993</v>
      </c>
      <c r="B99" s="69">
        <f t="shared" si="3"/>
        <v>1.8790500000000001</v>
      </c>
      <c r="C99" s="39">
        <v>259131000</v>
      </c>
      <c r="D99" s="35">
        <f t="shared" si="4"/>
        <v>7.2513516329578481E-3</v>
      </c>
    </row>
    <row r="100" spans="1:11" x14ac:dyDescent="0.25">
      <c r="A100" s="38">
        <v>1994</v>
      </c>
      <c r="B100" s="69">
        <f t="shared" si="3"/>
        <v>4.0806300000000002</v>
      </c>
      <c r="C100" s="40">
        <v>264061000</v>
      </c>
      <c r="D100" s="35">
        <f t="shared" si="4"/>
        <v>1.5453361155187629E-2</v>
      </c>
    </row>
    <row r="101" spans="1:11" x14ac:dyDescent="0.25">
      <c r="A101" s="37">
        <v>1995</v>
      </c>
      <c r="B101" s="69">
        <f t="shared" si="3"/>
        <v>3.769444</v>
      </c>
      <c r="C101" s="39">
        <v>266398000</v>
      </c>
      <c r="D101" s="35">
        <f t="shared" si="4"/>
        <v>1.4149670793324274E-2</v>
      </c>
    </row>
    <row r="102" spans="1:11" x14ac:dyDescent="0.25">
      <c r="A102" s="38">
        <v>1996</v>
      </c>
      <c r="B102" s="69">
        <f t="shared" si="3"/>
        <v>4.6539869999999999</v>
      </c>
      <c r="C102" s="40">
        <v>268930000</v>
      </c>
      <c r="D102" s="35">
        <f t="shared" si="4"/>
        <v>1.7305570222734542E-2</v>
      </c>
    </row>
    <row r="103" spans="1:11" x14ac:dyDescent="0.25">
      <c r="A103" s="37">
        <v>1997</v>
      </c>
      <c r="B103" s="69">
        <f t="shared" si="3"/>
        <v>4.695678</v>
      </c>
      <c r="C103" s="39">
        <v>271387000</v>
      </c>
      <c r="D103" s="35">
        <f t="shared" si="4"/>
        <v>1.730251633276465E-2</v>
      </c>
    </row>
    <row r="104" spans="1:11" x14ac:dyDescent="0.25">
      <c r="A104" s="38">
        <v>1998</v>
      </c>
      <c r="B104" s="69">
        <f t="shared" si="3"/>
        <v>5.3708989999999996</v>
      </c>
      <c r="C104" s="40">
        <v>271584000</v>
      </c>
      <c r="D104" s="35">
        <f t="shared" si="4"/>
        <v>1.9776198156003295E-2</v>
      </c>
    </row>
    <row r="105" spans="1:11" x14ac:dyDescent="0.25">
      <c r="A105" s="37">
        <v>1999</v>
      </c>
      <c r="B105" s="69">
        <f t="shared" si="3"/>
        <v>5.4972760000000003</v>
      </c>
      <c r="C105" s="39">
        <v>274024000</v>
      </c>
      <c r="D105" s="35">
        <f t="shared" si="4"/>
        <v>2.0061293901264123E-2</v>
      </c>
    </row>
    <row r="106" spans="1:11" x14ac:dyDescent="0.25">
      <c r="A106" s="38">
        <v>2000</v>
      </c>
      <c r="B106" s="69">
        <f t="shared" si="3"/>
        <v>4.1571689999999997</v>
      </c>
      <c r="C106" s="40">
        <v>284968955</v>
      </c>
      <c r="D106" s="35">
        <f t="shared" si="4"/>
        <v>1.4588146979027942E-2</v>
      </c>
    </row>
    <row r="107" spans="1:11" x14ac:dyDescent="0.25">
      <c r="A107" s="37">
        <v>2001</v>
      </c>
      <c r="B107" s="69">
        <f t="shared" si="3"/>
        <v>4.3950699999999996</v>
      </c>
      <c r="C107" s="39">
        <v>287625193</v>
      </c>
      <c r="D107" s="35">
        <f t="shared" si="4"/>
        <v>1.5280546026439343E-2</v>
      </c>
    </row>
    <row r="108" spans="1:11" x14ac:dyDescent="0.25">
      <c r="A108" s="38">
        <v>2002</v>
      </c>
      <c r="B108" s="69">
        <f t="shared" si="3"/>
        <v>3.5804529999999999</v>
      </c>
      <c r="C108" s="40">
        <v>290107933</v>
      </c>
      <c r="D108" s="35">
        <f t="shared" si="4"/>
        <v>1.2341796251397233E-2</v>
      </c>
    </row>
    <row r="109" spans="1:11" x14ac:dyDescent="0.25">
      <c r="A109" s="37">
        <v>2003</v>
      </c>
      <c r="B109" s="69">
        <f t="shared" si="3"/>
        <v>3.0722160000000001</v>
      </c>
      <c r="C109" s="39">
        <v>292805298</v>
      </c>
      <c r="D109" s="35">
        <f t="shared" si="4"/>
        <v>1.0492351132253079E-2</v>
      </c>
    </row>
    <row r="110" spans="1:11" x14ac:dyDescent="0.25">
      <c r="A110" s="38">
        <v>2004</v>
      </c>
      <c r="B110" s="69">
        <f t="shared" si="3"/>
        <v>4.047784</v>
      </c>
      <c r="C110" s="40">
        <v>295516599</v>
      </c>
      <c r="D110" s="35">
        <f t="shared" si="4"/>
        <v>1.3697315188714662E-2</v>
      </c>
    </row>
    <row r="111" spans="1:11" x14ac:dyDescent="0.25">
      <c r="A111" s="37">
        <v>2005</v>
      </c>
      <c r="B111" s="69">
        <f t="shared" si="3"/>
        <v>4.8815289999999996</v>
      </c>
      <c r="C111" s="39">
        <v>298379912</v>
      </c>
      <c r="D111" s="35">
        <f t="shared" si="4"/>
        <v>1.6360112741101687E-2</v>
      </c>
    </row>
    <row r="112" spans="1:11" x14ac:dyDescent="0.25">
      <c r="A112" s="38">
        <v>2006</v>
      </c>
      <c r="B112" s="69">
        <f t="shared" si="3"/>
        <v>7.2342979999999999</v>
      </c>
      <c r="C112" s="40">
        <v>301231207</v>
      </c>
      <c r="D112" s="35">
        <f t="shared" si="4"/>
        <v>2.4015765405076373E-2</v>
      </c>
    </row>
    <row r="113" spans="1:11" x14ac:dyDescent="0.25">
      <c r="A113" s="37">
        <v>2007</v>
      </c>
      <c r="B113" s="69">
        <f t="shared" si="3"/>
        <v>11.497343000000001</v>
      </c>
      <c r="C113" s="39">
        <v>304093966</v>
      </c>
      <c r="D113" s="35">
        <f t="shared" si="4"/>
        <v>3.7808520672850184E-2</v>
      </c>
    </row>
    <row r="114" spans="1:11" x14ac:dyDescent="0.25">
      <c r="A114" s="38">
        <v>2008</v>
      </c>
      <c r="B114" s="69">
        <f t="shared" si="3"/>
        <v>11.216604</v>
      </c>
      <c r="C114" s="40">
        <v>306771529</v>
      </c>
      <c r="D114" s="35">
        <f t="shared" si="4"/>
        <v>3.6563380039090917E-2</v>
      </c>
    </row>
    <row r="115" spans="1:11" x14ac:dyDescent="0.25">
      <c r="A115" s="37">
        <v>2009</v>
      </c>
      <c r="B115" s="69">
        <f t="shared" si="3"/>
        <v>6.9827849999999998</v>
      </c>
      <c r="C115" s="39">
        <v>308745538</v>
      </c>
      <c r="D115" s="35">
        <f t="shared" si="4"/>
        <v>2.2616634543881246E-2</v>
      </c>
    </row>
    <row r="116" spans="1:11" x14ac:dyDescent="0.25">
      <c r="A116" s="38">
        <v>2010</v>
      </c>
      <c r="B116" s="69">
        <f t="shared" si="3"/>
        <v>7.0415270000000003</v>
      </c>
      <c r="C116" s="40">
        <v>309347057</v>
      </c>
      <c r="D116" s="35">
        <f t="shared" si="4"/>
        <v>2.2762547244792441E-2</v>
      </c>
    </row>
    <row r="117" spans="1:11" x14ac:dyDescent="0.25">
      <c r="A117" s="37">
        <v>2011</v>
      </c>
      <c r="B117" s="69">
        <f t="shared" si="3"/>
        <v>9.4157279999999997</v>
      </c>
      <c r="C117" s="39">
        <v>311721632</v>
      </c>
      <c r="D117" s="35">
        <f t="shared" si="4"/>
        <v>3.0205564944559254E-2</v>
      </c>
    </row>
    <row r="118" spans="1:11" x14ac:dyDescent="0.25">
      <c r="A118" s="38">
        <v>2012</v>
      </c>
      <c r="B118" s="69">
        <f t="shared" si="3"/>
        <v>16.035523999999999</v>
      </c>
      <c r="C118" s="40">
        <v>314112078</v>
      </c>
      <c r="D118" s="35">
        <f t="shared" si="4"/>
        <v>5.1050326055911803E-2</v>
      </c>
    </row>
    <row r="119" spans="1:11" x14ac:dyDescent="0.25">
      <c r="A119" s="37">
        <v>2013</v>
      </c>
      <c r="B119" s="69">
        <f t="shared" si="3"/>
        <v>16.125896000000001</v>
      </c>
      <c r="C119" s="39">
        <v>316497531</v>
      </c>
      <c r="D119" s="35">
        <f t="shared" si="4"/>
        <v>5.095109572908485E-2</v>
      </c>
    </row>
    <row r="120" spans="1:11" x14ac:dyDescent="0.25">
      <c r="A120" s="38">
        <v>2014</v>
      </c>
      <c r="B120" s="69">
        <f t="shared" si="3"/>
        <v>15.409177</v>
      </c>
      <c r="C120" s="40">
        <v>318857056</v>
      </c>
      <c r="D120" s="35">
        <f t="shared" si="4"/>
        <v>4.8326285117554373E-2</v>
      </c>
    </row>
    <row r="121" spans="1:11" x14ac:dyDescent="0.25">
      <c r="A121" s="37">
        <v>2015</v>
      </c>
      <c r="B121" s="69">
        <f t="shared" si="3"/>
        <v>13.362054000000001</v>
      </c>
      <c r="C121" s="39">
        <v>321418820</v>
      </c>
      <c r="D121" s="35">
        <f t="shared" si="4"/>
        <v>4.157209587167298E-2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</row>
    <row r="126" spans="1:11" ht="60" x14ac:dyDescent="0.25">
      <c r="A126" s="110" t="s">
        <v>3</v>
      </c>
      <c r="B126" s="34" t="s">
        <v>16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>
        <f t="shared" ref="B127:B151" si="5">B6</f>
        <v>34.710495999999999</v>
      </c>
      <c r="C127" s="39">
        <v>253620000</v>
      </c>
      <c r="D127" s="81">
        <f t="shared" ref="D127:D151" si="6">(B127*1000000/C127)</f>
        <v>0.13686024761454144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69">
        <f t="shared" si="5"/>
        <v>31.046907999999998</v>
      </c>
      <c r="C128" s="40">
        <v>256516000</v>
      </c>
      <c r="D128" s="81">
        <f t="shared" si="6"/>
        <v>0.12103302717959113</v>
      </c>
    </row>
    <row r="129" spans="1:4" x14ac:dyDescent="0.25">
      <c r="A129" s="37">
        <v>1993</v>
      </c>
      <c r="B129" s="69">
        <f t="shared" si="5"/>
        <v>38.090372000000002</v>
      </c>
      <c r="C129" s="39">
        <v>259131000</v>
      </c>
      <c r="D129" s="81">
        <f t="shared" si="6"/>
        <v>0.14699272568700772</v>
      </c>
    </row>
    <row r="130" spans="1:4" x14ac:dyDescent="0.25">
      <c r="A130" s="38">
        <v>1994</v>
      </c>
      <c r="B130" s="69">
        <f t="shared" si="5"/>
        <v>47.060023999999999</v>
      </c>
      <c r="C130" s="40">
        <v>264061000</v>
      </c>
      <c r="D130" s="81">
        <f t="shared" si="6"/>
        <v>0.17821648785697244</v>
      </c>
    </row>
    <row r="131" spans="1:4" x14ac:dyDescent="0.25">
      <c r="A131" s="37">
        <v>1995</v>
      </c>
      <c r="B131" s="69">
        <f t="shared" si="5"/>
        <v>41.068123999999997</v>
      </c>
      <c r="C131" s="39">
        <v>266398000</v>
      </c>
      <c r="D131" s="81">
        <f t="shared" si="6"/>
        <v>0.15416078198785277</v>
      </c>
    </row>
    <row r="132" spans="1:4" x14ac:dyDescent="0.25">
      <c r="A132" s="38">
        <v>1996</v>
      </c>
      <c r="B132" s="69">
        <f t="shared" si="5"/>
        <v>60.505304000000002</v>
      </c>
      <c r="C132" s="40">
        <v>268930000</v>
      </c>
      <c r="D132" s="81">
        <f t="shared" si="6"/>
        <v>0.22498532703677537</v>
      </c>
    </row>
    <row r="133" spans="1:4" x14ac:dyDescent="0.25">
      <c r="A133" s="37">
        <v>1997</v>
      </c>
      <c r="B133" s="69">
        <f t="shared" si="5"/>
        <v>51.986088000000002</v>
      </c>
      <c r="C133" s="39">
        <v>271387000</v>
      </c>
      <c r="D133" s="81">
        <f t="shared" si="6"/>
        <v>0.19155703110318476</v>
      </c>
    </row>
    <row r="134" spans="1:4" x14ac:dyDescent="0.25">
      <c r="A134" s="38">
        <v>1998</v>
      </c>
      <c r="B134" s="69">
        <f t="shared" si="5"/>
        <v>66.543272000000002</v>
      </c>
      <c r="C134" s="40">
        <v>271584000</v>
      </c>
      <c r="D134" s="81">
        <f t="shared" si="6"/>
        <v>0.24501911747378344</v>
      </c>
    </row>
    <row r="135" spans="1:4" x14ac:dyDescent="0.25">
      <c r="A135" s="37">
        <v>1999</v>
      </c>
      <c r="B135" s="69">
        <f t="shared" si="5"/>
        <v>35.998551999999997</v>
      </c>
      <c r="C135" s="39">
        <v>274024000</v>
      </c>
      <c r="D135" s="81">
        <f t="shared" si="6"/>
        <v>0.13137006977491023</v>
      </c>
    </row>
    <row r="136" spans="1:4" x14ac:dyDescent="0.25">
      <c r="A136" s="38">
        <v>2000</v>
      </c>
      <c r="B136" s="69">
        <f t="shared" si="5"/>
        <v>31.175438</v>
      </c>
      <c r="C136" s="40">
        <v>284968955</v>
      </c>
      <c r="D136" s="81">
        <f t="shared" si="6"/>
        <v>0.1093994186138627</v>
      </c>
    </row>
    <row r="137" spans="1:4" x14ac:dyDescent="0.25">
      <c r="A137" s="37">
        <v>2001</v>
      </c>
      <c r="B137" s="69">
        <f t="shared" si="5"/>
        <v>34.390827000000002</v>
      </c>
      <c r="C137" s="39">
        <v>287625193</v>
      </c>
      <c r="D137" s="81">
        <f t="shared" si="6"/>
        <v>0.11956820138491832</v>
      </c>
    </row>
    <row r="138" spans="1:4" x14ac:dyDescent="0.25">
      <c r="A138" s="38">
        <v>2002</v>
      </c>
      <c r="B138" s="69">
        <f t="shared" si="5"/>
        <v>35.354666000000002</v>
      </c>
      <c r="C138" s="40">
        <v>290107933</v>
      </c>
      <c r="D138" s="81">
        <f t="shared" si="6"/>
        <v>0.12186728447718802</v>
      </c>
    </row>
    <row r="139" spans="1:4" x14ac:dyDescent="0.25">
      <c r="A139" s="37">
        <v>2003</v>
      </c>
      <c r="B139" s="69">
        <f t="shared" si="5"/>
        <v>56.438361</v>
      </c>
      <c r="C139" s="39">
        <v>292805298</v>
      </c>
      <c r="D139" s="81">
        <f t="shared" si="6"/>
        <v>0.19275047748623728</v>
      </c>
    </row>
    <row r="140" spans="1:4" x14ac:dyDescent="0.25">
      <c r="A140" s="38">
        <v>2004</v>
      </c>
      <c r="B140" s="69">
        <f t="shared" si="5"/>
        <v>50.564785000000001</v>
      </c>
      <c r="C140" s="40">
        <v>295516599</v>
      </c>
      <c r="D140" s="81">
        <f t="shared" si="6"/>
        <v>0.17110641219852427</v>
      </c>
    </row>
    <row r="141" spans="1:4" x14ac:dyDescent="0.25">
      <c r="A141" s="37">
        <v>2005</v>
      </c>
      <c r="B141" s="69">
        <f t="shared" si="5"/>
        <v>58.066253000000003</v>
      </c>
      <c r="C141" s="39">
        <v>298379912</v>
      </c>
      <c r="D141" s="81">
        <f t="shared" si="6"/>
        <v>0.19460510129783803</v>
      </c>
    </row>
    <row r="142" spans="1:4" x14ac:dyDescent="0.25">
      <c r="A142" s="38">
        <v>2006</v>
      </c>
      <c r="B142" s="69">
        <f t="shared" si="5"/>
        <v>74.293081999999998</v>
      </c>
      <c r="C142" s="40">
        <v>301231207</v>
      </c>
      <c r="D142" s="81">
        <f t="shared" si="6"/>
        <v>0.24663142554151105</v>
      </c>
    </row>
    <row r="143" spans="1:4" x14ac:dyDescent="0.25">
      <c r="A143" s="37">
        <v>2007</v>
      </c>
      <c r="B143" s="69">
        <f t="shared" si="5"/>
        <v>31.500926</v>
      </c>
      <c r="C143" s="39">
        <v>304093966</v>
      </c>
      <c r="D143" s="81">
        <f t="shared" si="6"/>
        <v>0.10358944774326762</v>
      </c>
    </row>
    <row r="144" spans="1:4" x14ac:dyDescent="0.25">
      <c r="A144" s="38">
        <v>2008</v>
      </c>
      <c r="B144" s="69">
        <f t="shared" si="5"/>
        <v>38.706232</v>
      </c>
      <c r="C144" s="40">
        <v>306771529</v>
      </c>
      <c r="D144" s="81">
        <f t="shared" si="6"/>
        <v>0.12617283007381042</v>
      </c>
    </row>
    <row r="145" spans="1:10" x14ac:dyDescent="0.25">
      <c r="A145" s="37">
        <v>2009</v>
      </c>
      <c r="B145" s="69">
        <f t="shared" si="5"/>
        <v>60.260446999999999</v>
      </c>
      <c r="C145" s="39">
        <v>308745538</v>
      </c>
      <c r="D145" s="81">
        <f t="shared" si="6"/>
        <v>0.1951783575249596</v>
      </c>
    </row>
    <row r="146" spans="1:10" x14ac:dyDescent="0.25">
      <c r="A146" s="38">
        <v>2010</v>
      </c>
      <c r="B146" s="69">
        <f t="shared" si="5"/>
        <v>87.062790000000007</v>
      </c>
      <c r="C146" s="40">
        <v>309347057</v>
      </c>
      <c r="D146" s="81">
        <f t="shared" si="6"/>
        <v>0.28144049872114996</v>
      </c>
    </row>
    <row r="147" spans="1:10" x14ac:dyDescent="0.25">
      <c r="A147" s="37">
        <v>2011</v>
      </c>
      <c r="B147" s="69">
        <f t="shared" si="5"/>
        <v>66.103155999999998</v>
      </c>
      <c r="C147" s="39">
        <v>311721632</v>
      </c>
      <c r="D147" s="81">
        <f t="shared" si="6"/>
        <v>0.21205828923672515</v>
      </c>
    </row>
    <row r="148" spans="1:10" x14ac:dyDescent="0.25">
      <c r="A148" s="38">
        <v>2012</v>
      </c>
      <c r="B148" s="69">
        <f t="shared" si="5"/>
        <v>89.009129999999999</v>
      </c>
      <c r="C148" s="40">
        <v>314112078</v>
      </c>
      <c r="D148" s="81">
        <f t="shared" si="6"/>
        <v>0.28336742275793675</v>
      </c>
    </row>
    <row r="149" spans="1:10" x14ac:dyDescent="0.25">
      <c r="A149" s="37">
        <v>2013</v>
      </c>
      <c r="B149" s="69">
        <f t="shared" si="5"/>
        <v>55.238146</v>
      </c>
      <c r="C149" s="39">
        <v>316497531</v>
      </c>
      <c r="D149" s="81">
        <f t="shared" si="6"/>
        <v>0.17452946892024887</v>
      </c>
    </row>
    <row r="150" spans="1:10" x14ac:dyDescent="0.25">
      <c r="A150" s="38">
        <v>2014</v>
      </c>
      <c r="B150" s="69">
        <f t="shared" si="5"/>
        <v>97.503679000000005</v>
      </c>
      <c r="C150" s="40">
        <v>318857056</v>
      </c>
      <c r="D150" s="81">
        <f t="shared" si="6"/>
        <v>0.3057911912728693</v>
      </c>
    </row>
    <row r="151" spans="1:10" x14ac:dyDescent="0.25">
      <c r="A151" s="37">
        <v>2015</v>
      </c>
      <c r="B151" s="69">
        <f t="shared" si="5"/>
        <v>81.490409</v>
      </c>
      <c r="C151" s="39">
        <v>321418820</v>
      </c>
      <c r="D151" s="81">
        <f t="shared" si="6"/>
        <v>0.25353340852909606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110" t="s">
        <v>3</v>
      </c>
      <c r="B155" s="34" t="s">
        <v>67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88">
        <f t="shared" ref="B156:B180" si="7">B65</f>
        <v>36.323250000000002</v>
      </c>
      <c r="C156" s="39">
        <v>253620000</v>
      </c>
      <c r="D156" s="81">
        <f t="shared" ref="D156:D180" si="8">(B156/C156)*1000000</f>
        <v>0.14321918618405488</v>
      </c>
    </row>
    <row r="157" spans="1:10" x14ac:dyDescent="0.25">
      <c r="A157" s="38">
        <v>1992</v>
      </c>
      <c r="B157" s="88">
        <f t="shared" si="7"/>
        <v>32.931391999999995</v>
      </c>
      <c r="C157" s="40">
        <v>256516000</v>
      </c>
      <c r="D157" s="81">
        <f t="shared" si="8"/>
        <v>0.12837948510034461</v>
      </c>
    </row>
    <row r="158" spans="1:10" x14ac:dyDescent="0.25">
      <c r="A158" s="37">
        <v>1993</v>
      </c>
      <c r="B158" s="88">
        <f t="shared" si="7"/>
        <v>39.969422000000002</v>
      </c>
      <c r="C158" s="39">
        <v>259131000</v>
      </c>
      <c r="D158" s="81">
        <f t="shared" si="8"/>
        <v>0.15424407731996559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88">
        <f t="shared" si="7"/>
        <v>51.140653999999998</v>
      </c>
      <c r="C159" s="40">
        <v>264061000</v>
      </c>
      <c r="D159" s="81">
        <f t="shared" si="8"/>
        <v>0.19366984901216006</v>
      </c>
    </row>
    <row r="160" spans="1:10" x14ac:dyDescent="0.25">
      <c r="A160" s="37">
        <v>1995</v>
      </c>
      <c r="B160" s="88">
        <f t="shared" si="7"/>
        <v>44.837567999999997</v>
      </c>
      <c r="C160" s="39">
        <v>266398000</v>
      </c>
      <c r="D160" s="81">
        <f t="shared" si="8"/>
        <v>0.16831045278117704</v>
      </c>
    </row>
    <row r="161" spans="1:4" x14ac:dyDescent="0.25">
      <c r="A161" s="38">
        <v>1996</v>
      </c>
      <c r="B161" s="88">
        <f t="shared" si="7"/>
        <v>65.159290999999996</v>
      </c>
      <c r="C161" s="40">
        <v>268930000</v>
      </c>
      <c r="D161" s="81">
        <f t="shared" si="8"/>
        <v>0.24229089725950989</v>
      </c>
    </row>
    <row r="162" spans="1:4" x14ac:dyDescent="0.25">
      <c r="A162" s="37">
        <v>1997</v>
      </c>
      <c r="B162" s="88">
        <f t="shared" si="7"/>
        <v>56.681766000000003</v>
      </c>
      <c r="C162" s="39">
        <v>271387000</v>
      </c>
      <c r="D162" s="81">
        <f t="shared" si="8"/>
        <v>0.20885954743594942</v>
      </c>
    </row>
    <row r="163" spans="1:4" x14ac:dyDescent="0.25">
      <c r="A163" s="38">
        <v>1998</v>
      </c>
      <c r="B163" s="88">
        <f t="shared" si="7"/>
        <v>71.914170999999996</v>
      </c>
      <c r="C163" s="40">
        <v>271584000</v>
      </c>
      <c r="D163" s="81">
        <f t="shared" si="8"/>
        <v>0.2647953156297867</v>
      </c>
    </row>
    <row r="164" spans="1:4" x14ac:dyDescent="0.25">
      <c r="A164" s="37">
        <v>1999</v>
      </c>
      <c r="B164" s="88">
        <f t="shared" si="7"/>
        <v>41.495827999999996</v>
      </c>
      <c r="C164" s="39">
        <v>274024000</v>
      </c>
      <c r="D164" s="81">
        <f t="shared" si="8"/>
        <v>0.15143136367617432</v>
      </c>
    </row>
    <row r="165" spans="1:4" x14ac:dyDescent="0.25">
      <c r="A165" s="38">
        <v>2000</v>
      </c>
      <c r="B165" s="88">
        <f t="shared" si="7"/>
        <v>35.332606999999996</v>
      </c>
      <c r="C165" s="40">
        <v>284968955</v>
      </c>
      <c r="D165" s="81">
        <f t="shared" si="8"/>
        <v>0.12398756559289063</v>
      </c>
    </row>
    <row r="166" spans="1:4" x14ac:dyDescent="0.25">
      <c r="A166" s="37">
        <v>2001</v>
      </c>
      <c r="B166" s="88">
        <f t="shared" si="7"/>
        <v>38.785896999999999</v>
      </c>
      <c r="C166" s="39">
        <v>287625193</v>
      </c>
      <c r="D166" s="81">
        <f t="shared" si="8"/>
        <v>0.13484874741135766</v>
      </c>
    </row>
    <row r="167" spans="1:4" x14ac:dyDescent="0.25">
      <c r="A167" s="38">
        <v>2002</v>
      </c>
      <c r="B167" s="88">
        <f t="shared" si="7"/>
        <v>38.935119</v>
      </c>
      <c r="C167" s="40">
        <v>290107933</v>
      </c>
      <c r="D167" s="81">
        <f t="shared" si="8"/>
        <v>0.13420908072858526</v>
      </c>
    </row>
    <row r="168" spans="1:4" x14ac:dyDescent="0.25">
      <c r="A168" s="37">
        <v>2003</v>
      </c>
      <c r="B168" s="88">
        <f t="shared" si="7"/>
        <v>59.510576999999998</v>
      </c>
      <c r="C168" s="39">
        <v>292805298</v>
      </c>
      <c r="D168" s="81">
        <f t="shared" si="8"/>
        <v>0.20324282861849036</v>
      </c>
    </row>
    <row r="169" spans="1:4" x14ac:dyDescent="0.25">
      <c r="A169" s="38">
        <v>2004</v>
      </c>
      <c r="B169" s="88">
        <f t="shared" si="7"/>
        <v>54.612569000000001</v>
      </c>
      <c r="C169" s="40">
        <v>295516599</v>
      </c>
      <c r="D169" s="81">
        <f t="shared" si="8"/>
        <v>0.18480372738723891</v>
      </c>
    </row>
    <row r="170" spans="1:4" x14ac:dyDescent="0.25">
      <c r="A170" s="37">
        <v>2005</v>
      </c>
      <c r="B170" s="88">
        <f t="shared" si="7"/>
        <v>62.947782000000004</v>
      </c>
      <c r="C170" s="39">
        <v>298379912</v>
      </c>
      <c r="D170" s="81">
        <f t="shared" si="8"/>
        <v>0.21096521403893972</v>
      </c>
    </row>
    <row r="171" spans="1:4" x14ac:dyDescent="0.25">
      <c r="A171" s="38">
        <v>2006</v>
      </c>
      <c r="B171" s="88">
        <f t="shared" si="7"/>
        <v>81.527379999999994</v>
      </c>
      <c r="C171" s="40">
        <v>301231207</v>
      </c>
      <c r="D171" s="81">
        <f t="shared" si="8"/>
        <v>0.2706471909465874</v>
      </c>
    </row>
    <row r="172" spans="1:4" x14ac:dyDescent="0.25">
      <c r="A172" s="37">
        <v>2007</v>
      </c>
      <c r="B172" s="88">
        <f t="shared" si="7"/>
        <v>42.998269000000001</v>
      </c>
      <c r="C172" s="39">
        <v>304093966</v>
      </c>
      <c r="D172" s="81">
        <f t="shared" si="8"/>
        <v>0.14139796841611779</v>
      </c>
    </row>
    <row r="173" spans="1:4" x14ac:dyDescent="0.25">
      <c r="A173" s="38">
        <v>2008</v>
      </c>
      <c r="B173" s="88">
        <f t="shared" si="7"/>
        <v>49.922836000000004</v>
      </c>
      <c r="C173" s="40">
        <v>306771529</v>
      </c>
      <c r="D173" s="81">
        <f t="shared" si="8"/>
        <v>0.16273621011290135</v>
      </c>
    </row>
    <row r="174" spans="1:4" x14ac:dyDescent="0.25">
      <c r="A174" s="37">
        <v>2009</v>
      </c>
      <c r="B174" s="88">
        <f t="shared" si="7"/>
        <v>67.243232000000006</v>
      </c>
      <c r="C174" s="39">
        <v>308745538</v>
      </c>
      <c r="D174" s="81">
        <f t="shared" si="8"/>
        <v>0.21779499206884087</v>
      </c>
    </row>
    <row r="175" spans="1:4" x14ac:dyDescent="0.25">
      <c r="A175" s="38">
        <v>2010</v>
      </c>
      <c r="B175" s="88">
        <f t="shared" si="7"/>
        <v>94.104317000000009</v>
      </c>
      <c r="C175" s="40">
        <v>309347057</v>
      </c>
      <c r="D175" s="81">
        <f t="shared" si="8"/>
        <v>0.30420304596594244</v>
      </c>
    </row>
    <row r="176" spans="1:4" x14ac:dyDescent="0.25">
      <c r="A176" s="37">
        <v>2011</v>
      </c>
      <c r="B176" s="88">
        <f t="shared" si="7"/>
        <v>75.518884</v>
      </c>
      <c r="C176" s="39">
        <v>311721632</v>
      </c>
      <c r="D176" s="81">
        <f t="shared" si="8"/>
        <v>0.24226385418128443</v>
      </c>
    </row>
    <row r="177" spans="1:4" x14ac:dyDescent="0.25">
      <c r="A177" s="38">
        <v>2012</v>
      </c>
      <c r="B177" s="88">
        <f t="shared" si="7"/>
        <v>105.04465399999999</v>
      </c>
      <c r="C177" s="40">
        <v>314112078</v>
      </c>
      <c r="D177" s="81">
        <f t="shared" si="8"/>
        <v>0.3344177488138485</v>
      </c>
    </row>
    <row r="178" spans="1:4" x14ac:dyDescent="0.25">
      <c r="A178" s="37">
        <v>2013</v>
      </c>
      <c r="B178" s="88">
        <f t="shared" si="7"/>
        <v>71.364041999999998</v>
      </c>
      <c r="C178" s="39">
        <v>316497531</v>
      </c>
      <c r="D178" s="81">
        <f t="shared" si="8"/>
        <v>0.22548056464933369</v>
      </c>
    </row>
    <row r="179" spans="1:4" x14ac:dyDescent="0.25">
      <c r="A179" s="38">
        <v>2014</v>
      </c>
      <c r="B179" s="88">
        <f t="shared" si="7"/>
        <v>112.912856</v>
      </c>
      <c r="C179" s="40">
        <v>318857056</v>
      </c>
      <c r="D179" s="81">
        <f t="shared" si="8"/>
        <v>0.35411747639042368</v>
      </c>
    </row>
    <row r="180" spans="1:4" x14ac:dyDescent="0.25">
      <c r="A180" s="37">
        <v>2015</v>
      </c>
      <c r="B180" s="88">
        <f t="shared" si="7"/>
        <v>94.852463</v>
      </c>
      <c r="C180" s="39">
        <v>321418820</v>
      </c>
      <c r="D180" s="81">
        <f t="shared" si="8"/>
        <v>0.2951055044007691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" sqref="B2:B26"/>
    </sheetView>
  </sheetViews>
  <sheetFormatPr baseColWidth="10" defaultRowHeight="15" x14ac:dyDescent="0.25"/>
  <sheetData>
    <row r="1" spans="1:7" ht="64.5" customHeight="1" x14ac:dyDescent="0.25">
      <c r="A1" s="34" t="s">
        <v>3</v>
      </c>
      <c r="B1" s="62" t="s">
        <v>29</v>
      </c>
    </row>
    <row r="2" spans="1:7" x14ac:dyDescent="0.25">
      <c r="A2" s="54">
        <v>1991</v>
      </c>
      <c r="B2" s="59">
        <f>'Export 00'!B2-'Import 00'!B2</f>
        <v>-1072.2910000000002</v>
      </c>
      <c r="D2" s="128" t="s">
        <v>36</v>
      </c>
      <c r="E2" s="128"/>
      <c r="F2" s="53" t="s">
        <v>10</v>
      </c>
      <c r="G2" s="7" t="s">
        <v>37</v>
      </c>
    </row>
    <row r="3" spans="1:7" x14ac:dyDescent="0.25">
      <c r="A3" s="55">
        <v>1992</v>
      </c>
      <c r="B3" s="59">
        <f>'Export 00'!B3-'Import 00'!B3</f>
        <v>-1738.4459999999999</v>
      </c>
    </row>
    <row r="4" spans="1:7" x14ac:dyDescent="0.25">
      <c r="A4" s="54">
        <v>1993</v>
      </c>
      <c r="B4" s="59">
        <f>'Export 00'!B4-'Import 00'!B4</f>
        <v>-1206.7849999999999</v>
      </c>
    </row>
    <row r="5" spans="1:7" x14ac:dyDescent="0.25">
      <c r="A5" s="55">
        <v>1994</v>
      </c>
      <c r="B5" s="59">
        <f>'Export 00'!B5-'Import 00'!B5</f>
        <v>-2442.4479999999999</v>
      </c>
    </row>
    <row r="6" spans="1:7" x14ac:dyDescent="0.25">
      <c r="A6" s="54">
        <v>1995</v>
      </c>
      <c r="B6" s="59">
        <f>'Export 00'!B6-'Import 00'!B6</f>
        <v>-1900.6889999999999</v>
      </c>
    </row>
    <row r="7" spans="1:7" x14ac:dyDescent="0.25">
      <c r="A7" s="55">
        <v>1996</v>
      </c>
      <c r="B7" s="59">
        <f>'Export 00'!B7-'Import 00'!B7</f>
        <v>-3426.0199999999995</v>
      </c>
    </row>
    <row r="8" spans="1:7" x14ac:dyDescent="0.25">
      <c r="A8" s="54">
        <v>1997</v>
      </c>
      <c r="B8" s="59">
        <f>'Export 00'!B8-'Import 00'!B8</f>
        <v>-2731.4639999999999</v>
      </c>
    </row>
    <row r="9" spans="1:7" x14ac:dyDescent="0.25">
      <c r="A9" s="55">
        <v>1998</v>
      </c>
      <c r="B9" s="59">
        <f>'Export 00'!B9-'Import 00'!B9</f>
        <v>-2595.123</v>
      </c>
    </row>
    <row r="10" spans="1:7" x14ac:dyDescent="0.25">
      <c r="A10" s="54">
        <v>1999</v>
      </c>
      <c r="B10" s="59">
        <f>'Export 00'!B10-'Import 00'!B10</f>
        <v>-1485.5729999999999</v>
      </c>
    </row>
    <row r="11" spans="1:7" x14ac:dyDescent="0.25">
      <c r="A11" s="55">
        <v>2000</v>
      </c>
      <c r="B11" s="59">
        <f>'Export 00'!B11-'Import 00'!B11</f>
        <v>-631.43099999999981</v>
      </c>
    </row>
    <row r="12" spans="1:7" x14ac:dyDescent="0.25">
      <c r="A12" s="54">
        <v>2001</v>
      </c>
      <c r="B12" s="59">
        <f>'Export 00'!B12-'Import 00'!B12</f>
        <v>-1501.42</v>
      </c>
    </row>
    <row r="13" spans="1:7" x14ac:dyDescent="0.25">
      <c r="A13" s="55">
        <v>2002</v>
      </c>
      <c r="B13" s="59">
        <f>'Export 00'!B13-'Import 00'!B13</f>
        <v>-2258.9620000000004</v>
      </c>
    </row>
    <row r="14" spans="1:7" x14ac:dyDescent="0.25">
      <c r="A14" s="54">
        <v>2003</v>
      </c>
      <c r="B14" s="59">
        <f>'Export 00'!B14-'Import 00'!B14</f>
        <v>-2779.7570000000005</v>
      </c>
    </row>
    <row r="15" spans="1:7" x14ac:dyDescent="0.25">
      <c r="A15" s="55">
        <v>2004</v>
      </c>
      <c r="B15" s="59">
        <f>'Export 00'!B15-'Import 00'!B15</f>
        <v>-146.40700000000015</v>
      </c>
    </row>
    <row r="16" spans="1:7" x14ac:dyDescent="0.25">
      <c r="A16" s="54">
        <v>2005</v>
      </c>
      <c r="B16" s="59">
        <f>'Export 00'!B16-'Import 00'!B16</f>
        <v>-325.57399999999961</v>
      </c>
    </row>
    <row r="17" spans="1:2" x14ac:dyDescent="0.25">
      <c r="A17" s="55">
        <v>2006</v>
      </c>
      <c r="B17" s="59">
        <f>'Export 00'!B17-'Import 00'!B17</f>
        <v>-1815.8449999999998</v>
      </c>
    </row>
    <row r="18" spans="1:2" x14ac:dyDescent="0.25">
      <c r="A18" s="54">
        <v>2007</v>
      </c>
      <c r="B18" s="59">
        <f>'Export 00'!B18-'Import 00'!B18</f>
        <v>-1579.9270000000006</v>
      </c>
    </row>
    <row r="19" spans="1:2" x14ac:dyDescent="0.25">
      <c r="A19" s="55">
        <v>2008</v>
      </c>
      <c r="B19" s="59">
        <f>'Export 00'!B19-'Import 00'!B19</f>
        <v>-3191.0590000000002</v>
      </c>
    </row>
    <row r="20" spans="1:2" x14ac:dyDescent="0.25">
      <c r="A20" s="54">
        <v>2009</v>
      </c>
      <c r="B20" s="59">
        <f>'Export 00'!B20-'Import 00'!B20</f>
        <v>-3220.2969999999996</v>
      </c>
    </row>
    <row r="21" spans="1:2" x14ac:dyDescent="0.25">
      <c r="A21" s="55">
        <v>2010</v>
      </c>
      <c r="B21" s="59">
        <f>'Export 00'!B21-'Import 00'!B21</f>
        <v>592.38700000000006</v>
      </c>
    </row>
    <row r="22" spans="1:2" x14ac:dyDescent="0.25">
      <c r="A22" s="54">
        <v>2011</v>
      </c>
      <c r="B22" s="59">
        <f>'Export 00'!B22-'Import 00'!B22</f>
        <v>-638.8180000000001</v>
      </c>
    </row>
    <row r="23" spans="1:2" x14ac:dyDescent="0.25">
      <c r="A23" s="55">
        <v>2012</v>
      </c>
      <c r="B23" s="59">
        <f>'Export 00'!B23-'Import 00'!B23</f>
        <v>-679.54899999999998</v>
      </c>
    </row>
    <row r="24" spans="1:2" x14ac:dyDescent="0.25">
      <c r="A24" s="54">
        <v>2013</v>
      </c>
      <c r="B24" s="59">
        <f>'Export 00'!B24-'Import 00'!B24</f>
        <v>-249.30399999999986</v>
      </c>
    </row>
    <row r="25" spans="1:2" x14ac:dyDescent="0.25">
      <c r="A25" s="55">
        <v>2014</v>
      </c>
      <c r="B25" s="59">
        <f>'Export 00'!B25-'Import 00'!B25</f>
        <v>460.779</v>
      </c>
    </row>
    <row r="26" spans="1:2" x14ac:dyDescent="0.25">
      <c r="A26" s="54">
        <v>2015</v>
      </c>
      <c r="B26" s="59">
        <f>'Export 00'!B26-'Import 00'!B26</f>
        <v>1813.0790000000002</v>
      </c>
    </row>
    <row r="27" spans="1:2" x14ac:dyDescent="0.25">
      <c r="A27" t="s">
        <v>117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topLeftCell="A88" zoomScale="110" zoomScaleNormal="110" workbookViewId="0">
      <selection activeCell="I108" sqref="I108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  <col min="12" max="12" width="12.28515625" bestFit="1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13</v>
      </c>
      <c r="D5" s="13" t="s">
        <v>14</v>
      </c>
      <c r="E5" s="14" t="s">
        <v>4</v>
      </c>
    </row>
    <row r="6" spans="2:12" x14ac:dyDescent="0.25">
      <c r="B6" s="10">
        <v>1991</v>
      </c>
      <c r="C6" s="69">
        <f>'Export 06'!B2</f>
        <v>34.710495999999999</v>
      </c>
      <c r="D6" s="2">
        <v>30.88664</v>
      </c>
      <c r="E6" s="77">
        <f t="shared" ref="E6:E30" si="0">(C6/D6)/100000000000</f>
        <v>1.1238029128451654E-11</v>
      </c>
    </row>
    <row r="7" spans="2:12" x14ac:dyDescent="0.25">
      <c r="B7" s="10">
        <v>1992</v>
      </c>
      <c r="C7" s="69">
        <f>'Export 06'!B3</f>
        <v>31.046907999999998</v>
      </c>
      <c r="D7" s="2">
        <v>36.748779999999996</v>
      </c>
      <c r="E7" s="77">
        <f t="shared" si="0"/>
        <v>8.448418695804324E-12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69">
        <f>'Export 06'!B4</f>
        <v>38.090372000000002</v>
      </c>
      <c r="D8" s="2">
        <v>54.163779999999996</v>
      </c>
      <c r="E8" s="77">
        <f t="shared" si="0"/>
        <v>7.0324434520633542E-12</v>
      </c>
    </row>
    <row r="9" spans="2:12" x14ac:dyDescent="0.25">
      <c r="B9" s="10">
        <v>1994</v>
      </c>
      <c r="C9" s="69">
        <f>'Export 06'!B5</f>
        <v>47.060023999999999</v>
      </c>
      <c r="D9" s="2">
        <v>82.613830000000007</v>
      </c>
      <c r="E9" s="77">
        <f t="shared" si="0"/>
        <v>5.6963857020065524E-12</v>
      </c>
    </row>
    <row r="10" spans="2:12" x14ac:dyDescent="0.25">
      <c r="B10" s="10">
        <v>1995</v>
      </c>
      <c r="C10" s="69">
        <f>'Export 06'!B6</f>
        <v>41.068123999999997</v>
      </c>
      <c r="D10" s="2">
        <v>97.478279999999998</v>
      </c>
      <c r="E10" s="77">
        <f t="shared" si="0"/>
        <v>4.2130538208101334E-12</v>
      </c>
    </row>
    <row r="11" spans="2:12" x14ac:dyDescent="0.25">
      <c r="B11" s="10">
        <v>1996</v>
      </c>
      <c r="C11" s="69">
        <f>'Export 06'!B7</f>
        <v>60.505304000000002</v>
      </c>
      <c r="D11" s="2">
        <v>137.40472</v>
      </c>
      <c r="E11" s="77">
        <f t="shared" si="0"/>
        <v>4.4034370871684755E-12</v>
      </c>
    </row>
    <row r="12" spans="2:12" x14ac:dyDescent="0.25">
      <c r="B12" s="10">
        <v>1997</v>
      </c>
      <c r="C12" s="69">
        <f>'Export 06'!B8</f>
        <v>51.986088000000002</v>
      </c>
      <c r="D12" s="2">
        <v>168.40043</v>
      </c>
      <c r="E12" s="77">
        <f t="shared" si="0"/>
        <v>3.0870519748672854E-12</v>
      </c>
    </row>
    <row r="13" spans="2:12" x14ac:dyDescent="0.25">
      <c r="B13" s="10">
        <v>1998</v>
      </c>
      <c r="C13" s="69">
        <f>'Export 06'!B9</f>
        <v>66.543272000000002</v>
      </c>
      <c r="D13" s="2">
        <v>184.64424</v>
      </c>
      <c r="E13" s="77">
        <f t="shared" si="0"/>
        <v>3.6038639493980421E-12</v>
      </c>
    </row>
    <row r="14" spans="2:12" x14ac:dyDescent="0.25">
      <c r="B14" s="10">
        <v>1999</v>
      </c>
      <c r="C14" s="69">
        <f>'Export 06'!B10</f>
        <v>35.998551999999997</v>
      </c>
      <c r="D14" s="2">
        <v>182.49723999999998</v>
      </c>
      <c r="E14" s="77">
        <f t="shared" si="0"/>
        <v>1.9725532287501994E-12</v>
      </c>
    </row>
    <row r="15" spans="2:12" x14ac:dyDescent="0.25">
      <c r="B15" s="10">
        <v>2000</v>
      </c>
      <c r="C15" s="69">
        <f>'Export 06'!B11</f>
        <v>31.175438</v>
      </c>
      <c r="D15" s="2">
        <v>173.83799999999999</v>
      </c>
      <c r="E15" s="77">
        <f t="shared" si="0"/>
        <v>1.7933615204960941E-12</v>
      </c>
    </row>
    <row r="16" spans="2:12" x14ac:dyDescent="0.25">
      <c r="B16" s="10">
        <v>2001</v>
      </c>
      <c r="C16" s="69">
        <f>'Export 06'!B12</f>
        <v>34.390827000000002</v>
      </c>
      <c r="D16" s="2">
        <v>169.57254999999998</v>
      </c>
      <c r="E16" s="77">
        <f t="shared" si="0"/>
        <v>2.0280892750625031E-12</v>
      </c>
    </row>
    <row r="17" spans="2:5" x14ac:dyDescent="0.25">
      <c r="B17" s="10">
        <v>2002</v>
      </c>
      <c r="C17" s="69">
        <f>'Export 06'!B13</f>
        <v>35.354666000000002</v>
      </c>
      <c r="D17" s="2">
        <v>193.08387999999999</v>
      </c>
      <c r="E17" s="77">
        <f t="shared" si="0"/>
        <v>1.8310521831237287E-12</v>
      </c>
    </row>
    <row r="18" spans="2:5" x14ac:dyDescent="0.25">
      <c r="B18" s="10">
        <v>2003</v>
      </c>
      <c r="C18" s="69">
        <f>'Export 06'!B14</f>
        <v>56.438361</v>
      </c>
      <c r="D18" s="2">
        <v>203.78914</v>
      </c>
      <c r="E18" s="77">
        <f t="shared" si="0"/>
        <v>2.7694489019385428E-12</v>
      </c>
    </row>
    <row r="19" spans="2:5" x14ac:dyDescent="0.25">
      <c r="B19" s="10">
        <v>2004</v>
      </c>
      <c r="C19" s="69">
        <f>'Export 06'!B15</f>
        <v>50.564785000000001</v>
      </c>
      <c r="D19" s="2">
        <v>220.41551999999999</v>
      </c>
      <c r="E19" s="77">
        <f t="shared" si="0"/>
        <v>2.2940664523078958E-12</v>
      </c>
    </row>
    <row r="20" spans="2:5" x14ac:dyDescent="0.25">
      <c r="B20" s="10">
        <v>2005</v>
      </c>
      <c r="C20" s="69">
        <f>'Export 06'!B16</f>
        <v>58.066253000000003</v>
      </c>
      <c r="D20" s="2">
        <v>255.02369000000002</v>
      </c>
      <c r="E20" s="77">
        <f t="shared" si="0"/>
        <v>2.2768964326412187E-12</v>
      </c>
    </row>
    <row r="21" spans="2:5" x14ac:dyDescent="0.25">
      <c r="B21" s="10">
        <v>2006</v>
      </c>
      <c r="C21" s="69">
        <f>'Export 06'!B17</f>
        <v>74.293081999999998</v>
      </c>
      <c r="D21" s="2">
        <v>289.62955999999997</v>
      </c>
      <c r="E21" s="77">
        <f t="shared" si="0"/>
        <v>2.5651070284400528E-12</v>
      </c>
    </row>
    <row r="22" spans="2:5" x14ac:dyDescent="0.25">
      <c r="B22" s="10">
        <v>2007</v>
      </c>
      <c r="C22" s="69">
        <f>'Export 06'!B18</f>
        <v>31.500926</v>
      </c>
      <c r="D22" s="2">
        <v>315.86653999999999</v>
      </c>
      <c r="E22" s="77">
        <f t="shared" si="0"/>
        <v>9.9728594234767639E-13</v>
      </c>
    </row>
    <row r="23" spans="2:5" x14ac:dyDescent="0.25">
      <c r="B23" s="10">
        <v>2008</v>
      </c>
      <c r="C23" s="69">
        <f>'Export 06'!B19</f>
        <v>38.706232</v>
      </c>
      <c r="D23" s="2">
        <v>356.99453000000005</v>
      </c>
      <c r="E23" s="77">
        <f t="shared" si="0"/>
        <v>1.084224791903674E-12</v>
      </c>
    </row>
    <row r="24" spans="2:5" x14ac:dyDescent="0.25">
      <c r="B24" s="10">
        <v>2009</v>
      </c>
      <c r="C24" s="69">
        <f>'Export 06'!B20</f>
        <v>60.260446999999999</v>
      </c>
      <c r="D24" s="2">
        <v>413.96373999999997</v>
      </c>
      <c r="E24" s="77">
        <f t="shared" si="0"/>
        <v>1.4556938489346918E-12</v>
      </c>
    </row>
    <row r="25" spans="2:5" x14ac:dyDescent="0.25">
      <c r="B25" s="10">
        <v>2010</v>
      </c>
      <c r="C25" s="69">
        <f>'Export 06'!B21</f>
        <v>87.062790000000007</v>
      </c>
      <c r="D25" s="2">
        <v>476.72912000000002</v>
      </c>
      <c r="E25" s="77">
        <f t="shared" si="0"/>
        <v>1.8262528204696201E-12</v>
      </c>
    </row>
    <row r="26" spans="2:5" x14ac:dyDescent="0.25">
      <c r="B26" s="10">
        <v>2011</v>
      </c>
      <c r="C26" s="69">
        <f>'Export 06'!B22</f>
        <v>66.103155999999998</v>
      </c>
      <c r="D26" s="2">
        <v>449.90528999999998</v>
      </c>
      <c r="E26" s="77">
        <f t="shared" si="0"/>
        <v>1.4692682542141258E-12</v>
      </c>
    </row>
    <row r="27" spans="2:5" x14ac:dyDescent="0.25">
      <c r="B27" s="10">
        <v>2012</v>
      </c>
      <c r="C27" s="69">
        <f>'Export 06'!B23</f>
        <v>89.009129999999999</v>
      </c>
      <c r="D27" s="2">
        <v>494.70812999999998</v>
      </c>
      <c r="E27" s="77">
        <f t="shared" si="0"/>
        <v>1.7992251309878413E-12</v>
      </c>
    </row>
    <row r="28" spans="2:5" x14ac:dyDescent="0.25">
      <c r="B28" s="10">
        <v>2013</v>
      </c>
      <c r="C28" s="69">
        <f>'Export 06'!B24</f>
        <v>55.238146</v>
      </c>
      <c r="D28" s="2">
        <v>585.44633999999996</v>
      </c>
      <c r="E28" s="77">
        <f t="shared" si="0"/>
        <v>9.4352192892691082E-13</v>
      </c>
    </row>
    <row r="29" spans="2:5" x14ac:dyDescent="0.25">
      <c r="B29" s="10">
        <v>2014</v>
      </c>
      <c r="C29" s="69">
        <f>'Export 06'!B25</f>
        <v>97.503679000000005</v>
      </c>
      <c r="D29" s="2">
        <v>607.30944999999997</v>
      </c>
      <c r="E29" s="77">
        <f t="shared" si="0"/>
        <v>1.605502417260262E-12</v>
      </c>
    </row>
    <row r="30" spans="2:5" x14ac:dyDescent="0.25">
      <c r="B30" s="11">
        <v>2015</v>
      </c>
      <c r="C30" s="69">
        <f>'Export 06'!B26</f>
        <v>81.490409</v>
      </c>
      <c r="D30" s="2">
        <v>645.33130000000006</v>
      </c>
      <c r="E30" s="77">
        <f t="shared" si="0"/>
        <v>1.2627685810373678E-12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</row>
    <row r="36" spans="2:12" ht="60" x14ac:dyDescent="0.25">
      <c r="B36" s="12" t="s">
        <v>3</v>
      </c>
      <c r="C36" s="13" t="s">
        <v>16</v>
      </c>
      <c r="D36" s="13" t="s">
        <v>14</v>
      </c>
      <c r="E36" s="14" t="s">
        <v>81</v>
      </c>
    </row>
    <row r="37" spans="2:12" x14ac:dyDescent="0.25">
      <c r="B37" s="10">
        <v>1991</v>
      </c>
      <c r="C37" s="69">
        <f>' Per Cápita 06'!B36</f>
        <v>1.612754</v>
      </c>
      <c r="D37" s="2">
        <v>30.88664</v>
      </c>
      <c r="E37" s="76">
        <f t="shared" ref="E37:E61" si="1">(C37/D37)/1000000000</f>
        <v>5.2215262003248002E-11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69">
        <f>' Per Cápita 06'!B37</f>
        <v>1.884484</v>
      </c>
      <c r="D38" s="2">
        <v>36.748779999999996</v>
      </c>
      <c r="E38" s="76">
        <f t="shared" si="1"/>
        <v>5.128017855286625E-11</v>
      </c>
    </row>
    <row r="39" spans="2:12" x14ac:dyDescent="0.25">
      <c r="B39" s="10">
        <v>1993</v>
      </c>
      <c r="C39" s="69">
        <f>' Per Cápita 06'!B38</f>
        <v>1.8790500000000001</v>
      </c>
      <c r="D39" s="2">
        <v>54.163779999999996</v>
      </c>
      <c r="E39" s="76">
        <f t="shared" si="1"/>
        <v>3.469200266303423E-11</v>
      </c>
    </row>
    <row r="40" spans="2:12" x14ac:dyDescent="0.25">
      <c r="B40" s="10">
        <v>1994</v>
      </c>
      <c r="C40" s="69">
        <f>' Per Cápita 06'!B39</f>
        <v>4.0806300000000002</v>
      </c>
      <c r="D40" s="2">
        <v>82.613830000000007</v>
      </c>
      <c r="E40" s="76">
        <f t="shared" si="1"/>
        <v>4.9394030031049281E-11</v>
      </c>
    </row>
    <row r="41" spans="2:12" x14ac:dyDescent="0.25">
      <c r="B41" s="10">
        <v>1995</v>
      </c>
      <c r="C41" s="69">
        <f>' Per Cápita 06'!B40</f>
        <v>3.769444</v>
      </c>
      <c r="D41" s="2">
        <v>97.478279999999998</v>
      </c>
      <c r="E41" s="76">
        <f t="shared" si="1"/>
        <v>3.8669578494819561E-11</v>
      </c>
    </row>
    <row r="42" spans="2:12" x14ac:dyDescent="0.25">
      <c r="B42" s="10">
        <v>1996</v>
      </c>
      <c r="C42" s="69">
        <f>' Per Cápita 06'!B41</f>
        <v>4.6539869999999999</v>
      </c>
      <c r="D42" s="2">
        <v>137.40472</v>
      </c>
      <c r="E42" s="76">
        <f t="shared" si="1"/>
        <v>3.387064869387311E-11</v>
      </c>
    </row>
    <row r="43" spans="2:12" x14ac:dyDescent="0.25">
      <c r="B43" s="10">
        <v>1997</v>
      </c>
      <c r="C43" s="69">
        <f>' Per Cápita 06'!B42</f>
        <v>4.695678</v>
      </c>
      <c r="D43" s="2">
        <v>168.40043</v>
      </c>
      <c r="E43" s="76">
        <f t="shared" si="1"/>
        <v>2.7884002433960532E-11</v>
      </c>
    </row>
    <row r="44" spans="2:12" x14ac:dyDescent="0.25">
      <c r="B44" s="10">
        <v>1998</v>
      </c>
      <c r="C44" s="69">
        <f>' Per Cápita 06'!B43</f>
        <v>5.3708989999999996</v>
      </c>
      <c r="D44" s="2">
        <v>184.64424</v>
      </c>
      <c r="E44" s="76">
        <f t="shared" si="1"/>
        <v>2.9087823156573962E-11</v>
      </c>
    </row>
    <row r="45" spans="2:12" x14ac:dyDescent="0.25">
      <c r="B45" s="10">
        <v>1999</v>
      </c>
      <c r="C45" s="69">
        <f>' Per Cápita 06'!B44</f>
        <v>5.4972760000000003</v>
      </c>
      <c r="D45" s="2">
        <v>182.49723999999998</v>
      </c>
      <c r="E45" s="76">
        <f t="shared" si="1"/>
        <v>3.0122515825444819E-11</v>
      </c>
    </row>
    <row r="46" spans="2:12" x14ac:dyDescent="0.25">
      <c r="B46" s="10">
        <v>2000</v>
      </c>
      <c r="C46" s="69">
        <f>' Per Cápita 06'!B45</f>
        <v>4.1571689999999997</v>
      </c>
      <c r="D46" s="2">
        <v>173.83799999999999</v>
      </c>
      <c r="E46" s="76">
        <f t="shared" si="1"/>
        <v>2.3914040658544161E-11</v>
      </c>
    </row>
    <row r="47" spans="2:12" x14ac:dyDescent="0.25">
      <c r="B47" s="10">
        <v>2001</v>
      </c>
      <c r="C47" s="69">
        <f>' Per Cápita 06'!B46</f>
        <v>4.3950699999999996</v>
      </c>
      <c r="D47" s="2">
        <v>169.57254999999998</v>
      </c>
      <c r="E47" s="76">
        <f t="shared" si="1"/>
        <v>2.5918522779777741E-11</v>
      </c>
    </row>
    <row r="48" spans="2:12" x14ac:dyDescent="0.25">
      <c r="B48" s="10">
        <v>2002</v>
      </c>
      <c r="C48" s="69">
        <f>' Per Cápita 06'!B47</f>
        <v>3.5804529999999999</v>
      </c>
      <c r="D48" s="2">
        <v>193.08387999999999</v>
      </c>
      <c r="E48" s="76">
        <f t="shared" si="1"/>
        <v>1.8543510727047748E-11</v>
      </c>
    </row>
    <row r="49" spans="2:6" x14ac:dyDescent="0.25">
      <c r="B49" s="10">
        <v>2003</v>
      </c>
      <c r="C49" s="69">
        <f>' Per Cápita 06'!B48</f>
        <v>3.0722160000000001</v>
      </c>
      <c r="D49" s="2">
        <v>203.78914</v>
      </c>
      <c r="E49" s="76">
        <f t="shared" si="1"/>
        <v>1.5075464767160801E-11</v>
      </c>
    </row>
    <row r="50" spans="2:6" x14ac:dyDescent="0.25">
      <c r="B50" s="10">
        <v>2004</v>
      </c>
      <c r="C50" s="69">
        <f>' Per Cápita 06'!B49</f>
        <v>4.047784</v>
      </c>
      <c r="D50" s="2">
        <v>220.41551999999999</v>
      </c>
      <c r="E50" s="76">
        <f t="shared" si="1"/>
        <v>1.8364332965301175E-11</v>
      </c>
    </row>
    <row r="51" spans="2:6" x14ac:dyDescent="0.25">
      <c r="B51" s="10">
        <v>2005</v>
      </c>
      <c r="C51" s="69">
        <f>' Per Cápita 06'!B50</f>
        <v>4.8815289999999996</v>
      </c>
      <c r="D51" s="2">
        <v>255.02369000000002</v>
      </c>
      <c r="E51" s="76">
        <f t="shared" si="1"/>
        <v>1.914147270004602E-11</v>
      </c>
    </row>
    <row r="52" spans="2:6" x14ac:dyDescent="0.25">
      <c r="B52" s="10">
        <v>2006</v>
      </c>
      <c r="C52" s="69">
        <f>' Per Cápita 06'!B51</f>
        <v>7.2342979999999999</v>
      </c>
      <c r="D52" s="2">
        <v>289.62955999999997</v>
      </c>
      <c r="E52" s="76">
        <f t="shared" si="1"/>
        <v>2.4977761247850531E-11</v>
      </c>
    </row>
    <row r="53" spans="2:6" x14ac:dyDescent="0.25">
      <c r="B53" s="10">
        <v>2007</v>
      </c>
      <c r="C53" s="69">
        <f>' Per Cápita 06'!B52</f>
        <v>11.497343000000001</v>
      </c>
      <c r="D53" s="2">
        <v>315.86653999999999</v>
      </c>
      <c r="E53" s="76">
        <f t="shared" si="1"/>
        <v>3.6399369809793724E-11</v>
      </c>
    </row>
    <row r="54" spans="2:6" x14ac:dyDescent="0.25">
      <c r="B54" s="10">
        <v>2008</v>
      </c>
      <c r="C54" s="69">
        <f>' Per Cápita 06'!B53</f>
        <v>11.216604</v>
      </c>
      <c r="D54" s="2">
        <v>356.99453000000005</v>
      </c>
      <c r="E54" s="76">
        <f t="shared" si="1"/>
        <v>3.1419540237773389E-11</v>
      </c>
    </row>
    <row r="55" spans="2:6" x14ac:dyDescent="0.25">
      <c r="B55" s="10">
        <v>2009</v>
      </c>
      <c r="C55" s="69">
        <f>' Per Cápita 06'!B54</f>
        <v>6.9827849999999998</v>
      </c>
      <c r="D55" s="2">
        <v>413.96373999999997</v>
      </c>
      <c r="E55" s="76">
        <f t="shared" si="1"/>
        <v>1.6868107820264644E-11</v>
      </c>
    </row>
    <row r="56" spans="2:6" x14ac:dyDescent="0.25">
      <c r="B56" s="10">
        <v>2010</v>
      </c>
      <c r="C56" s="69">
        <f>' Per Cápita 06'!B55</f>
        <v>7.0415270000000003</v>
      </c>
      <c r="D56" s="2">
        <v>476.72912000000002</v>
      </c>
      <c r="E56" s="76">
        <f t="shared" si="1"/>
        <v>1.4770499020491973E-11</v>
      </c>
    </row>
    <row r="57" spans="2:6" x14ac:dyDescent="0.25">
      <c r="B57" s="10">
        <v>2011</v>
      </c>
      <c r="C57" s="69">
        <f>' Per Cápita 06'!B56</f>
        <v>9.4157279999999997</v>
      </c>
      <c r="D57" s="2">
        <v>449.90528999999998</v>
      </c>
      <c r="E57" s="76">
        <f t="shared" si="1"/>
        <v>2.0928244697900752E-11</v>
      </c>
    </row>
    <row r="58" spans="2:6" x14ac:dyDescent="0.25">
      <c r="B58" s="10">
        <v>2012</v>
      </c>
      <c r="C58" s="69">
        <f>' Per Cápita 06'!B57</f>
        <v>16.035523999999999</v>
      </c>
      <c r="D58" s="2">
        <v>494.70812999999998</v>
      </c>
      <c r="E58" s="76">
        <f t="shared" si="1"/>
        <v>3.2414110518054353E-11</v>
      </c>
    </row>
    <row r="59" spans="2:6" x14ac:dyDescent="0.25">
      <c r="B59" s="10">
        <v>2013</v>
      </c>
      <c r="C59" s="69">
        <f>' Per Cápita 06'!B58</f>
        <v>16.125896000000001</v>
      </c>
      <c r="D59" s="2">
        <v>585.44633999999996</v>
      </c>
      <c r="E59" s="76">
        <f t="shared" si="1"/>
        <v>2.7544618350505021E-11</v>
      </c>
    </row>
    <row r="60" spans="2:6" x14ac:dyDescent="0.25">
      <c r="B60" s="10">
        <v>2014</v>
      </c>
      <c r="C60" s="69">
        <f>' Per Cápita 06'!B59</f>
        <v>15.409177</v>
      </c>
      <c r="D60" s="2">
        <v>607.30944999999997</v>
      </c>
      <c r="E60" s="76">
        <f t="shared" si="1"/>
        <v>2.5372858927191073E-11</v>
      </c>
    </row>
    <row r="61" spans="2:6" x14ac:dyDescent="0.25">
      <c r="B61" s="11">
        <v>2015</v>
      </c>
      <c r="C61" s="69">
        <f>' Per Cápita 06'!B60</f>
        <v>13.362054000000001</v>
      </c>
      <c r="D61" s="2">
        <v>645.33130000000006</v>
      </c>
      <c r="E61" s="76">
        <f t="shared" si="1"/>
        <v>2.0705727430236221E-11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90" x14ac:dyDescent="0.25">
      <c r="B67" s="12" t="s">
        <v>3</v>
      </c>
      <c r="C67" s="13" t="s">
        <v>83</v>
      </c>
      <c r="D67" s="13" t="s">
        <v>87</v>
      </c>
      <c r="E67" s="14" t="s">
        <v>82</v>
      </c>
    </row>
    <row r="68" spans="2:12" x14ac:dyDescent="0.25">
      <c r="B68" s="10">
        <v>1991</v>
      </c>
      <c r="C68" s="111">
        <f>' Per Cápita 06'!B65</f>
        <v>36.323250000000002</v>
      </c>
      <c r="D68" s="2">
        <f t="shared" ref="D68:D92" si="2">D37*2</f>
        <v>61.77328</v>
      </c>
      <c r="E68" s="79">
        <f t="shared" ref="E68:E92" si="3">(C68/D68)/100000000</f>
        <v>5.8800908742420676E-9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111">
        <f>' Per Cápita 06'!B66</f>
        <v>32.931391999999995</v>
      </c>
      <c r="D69" s="2">
        <f t="shared" si="2"/>
        <v>73.497559999999993</v>
      </c>
      <c r="E69" s="79">
        <f t="shared" si="3"/>
        <v>4.4806102406664931E-9</v>
      </c>
    </row>
    <row r="70" spans="2:12" x14ac:dyDescent="0.25">
      <c r="B70" s="10">
        <v>1993</v>
      </c>
      <c r="C70" s="111">
        <f>' Per Cápita 06'!B67</f>
        <v>39.969422000000002</v>
      </c>
      <c r="D70" s="2">
        <f t="shared" si="2"/>
        <v>108.32755999999999</v>
      </c>
      <c r="E70" s="79">
        <f t="shared" si="3"/>
        <v>3.6896817393468478E-9</v>
      </c>
    </row>
    <row r="71" spans="2:12" x14ac:dyDescent="0.25">
      <c r="B71" s="10">
        <v>1994</v>
      </c>
      <c r="C71" s="111">
        <f>' Per Cápita 06'!B68</f>
        <v>51.140653999999998</v>
      </c>
      <c r="D71" s="2">
        <f t="shared" si="2"/>
        <v>165.22766000000001</v>
      </c>
      <c r="E71" s="79">
        <f t="shared" si="3"/>
        <v>3.0951630011585223E-9</v>
      </c>
    </row>
    <row r="72" spans="2:12" x14ac:dyDescent="0.25">
      <c r="B72" s="10">
        <v>1995</v>
      </c>
      <c r="C72" s="111">
        <f>' Per Cápita 06'!B69</f>
        <v>44.837567999999997</v>
      </c>
      <c r="D72" s="2">
        <f t="shared" si="2"/>
        <v>194.95656</v>
      </c>
      <c r="E72" s="79">
        <f t="shared" si="3"/>
        <v>2.2998748028791644E-9</v>
      </c>
    </row>
    <row r="73" spans="2:12" x14ac:dyDescent="0.25">
      <c r="B73" s="10">
        <v>1996</v>
      </c>
      <c r="C73" s="111">
        <f>' Per Cápita 06'!B70</f>
        <v>65.159290999999996</v>
      </c>
      <c r="D73" s="2">
        <f t="shared" si="2"/>
        <v>274.80944</v>
      </c>
      <c r="E73" s="79">
        <f t="shared" si="3"/>
        <v>2.3710717870536034E-9</v>
      </c>
    </row>
    <row r="74" spans="2:12" x14ac:dyDescent="0.25">
      <c r="B74" s="10">
        <v>1997</v>
      </c>
      <c r="C74" s="111">
        <f>' Per Cápita 06'!B71</f>
        <v>56.681766000000003</v>
      </c>
      <c r="D74" s="2">
        <f t="shared" si="2"/>
        <v>336.80086</v>
      </c>
      <c r="E74" s="79">
        <f t="shared" si="3"/>
        <v>1.6829459996034451E-9</v>
      </c>
    </row>
    <row r="75" spans="2:12" x14ac:dyDescent="0.25">
      <c r="B75" s="10">
        <v>1998</v>
      </c>
      <c r="C75" s="111">
        <f>' Per Cápita 06'!B72</f>
        <v>71.914170999999996</v>
      </c>
      <c r="D75" s="2">
        <f t="shared" si="2"/>
        <v>369.28847999999999</v>
      </c>
      <c r="E75" s="79">
        <f t="shared" si="3"/>
        <v>1.9473710904818908E-9</v>
      </c>
    </row>
    <row r="76" spans="2:12" x14ac:dyDescent="0.25">
      <c r="B76" s="10">
        <v>1999</v>
      </c>
      <c r="C76" s="111">
        <f>' Per Cápita 06'!B73</f>
        <v>41.495827999999996</v>
      </c>
      <c r="D76" s="2">
        <f t="shared" si="2"/>
        <v>364.99447999999995</v>
      </c>
      <c r="E76" s="79">
        <f t="shared" si="3"/>
        <v>1.1368891935023238E-9</v>
      </c>
    </row>
    <row r="77" spans="2:12" x14ac:dyDescent="0.25">
      <c r="B77" s="10">
        <v>2000</v>
      </c>
      <c r="C77" s="111">
        <f>' Per Cápita 06'!B74</f>
        <v>35.332606999999996</v>
      </c>
      <c r="D77" s="2">
        <f t="shared" si="2"/>
        <v>347.67599999999999</v>
      </c>
      <c r="E77" s="79">
        <f t="shared" si="3"/>
        <v>1.0162509635407677E-9</v>
      </c>
    </row>
    <row r="78" spans="2:12" x14ac:dyDescent="0.25">
      <c r="B78" s="10">
        <v>2001</v>
      </c>
      <c r="C78" s="111">
        <f>' Per Cápita 06'!B75</f>
        <v>38.785896999999999</v>
      </c>
      <c r="D78" s="2">
        <f t="shared" si="2"/>
        <v>339.14509999999996</v>
      </c>
      <c r="E78" s="79">
        <f t="shared" si="3"/>
        <v>1.1436372514301402E-9</v>
      </c>
    </row>
    <row r="79" spans="2:12" x14ac:dyDescent="0.25">
      <c r="B79" s="10">
        <v>2002</v>
      </c>
      <c r="C79" s="111">
        <f>' Per Cápita 06'!B76</f>
        <v>38.935119</v>
      </c>
      <c r="D79" s="2">
        <f t="shared" si="2"/>
        <v>386.16775999999999</v>
      </c>
      <c r="E79" s="79">
        <f t="shared" si="3"/>
        <v>1.0082436451971031E-9</v>
      </c>
    </row>
    <row r="80" spans="2:12" x14ac:dyDescent="0.25">
      <c r="B80" s="10">
        <v>2003</v>
      </c>
      <c r="C80" s="111">
        <f>' Per Cápita 06'!B77</f>
        <v>59.510576999999998</v>
      </c>
      <c r="D80" s="2">
        <f t="shared" si="2"/>
        <v>407.57828000000001</v>
      </c>
      <c r="E80" s="79">
        <f t="shared" si="3"/>
        <v>1.4601017748050754E-9</v>
      </c>
    </row>
    <row r="81" spans="2:5" x14ac:dyDescent="0.25">
      <c r="B81" s="10">
        <v>2004</v>
      </c>
      <c r="C81" s="111">
        <f>' Per Cápita 06'!B78</f>
        <v>54.612569000000001</v>
      </c>
      <c r="D81" s="2">
        <f t="shared" si="2"/>
        <v>440.83103999999997</v>
      </c>
      <c r="E81" s="79">
        <f t="shared" si="3"/>
        <v>1.2388548909804539E-9</v>
      </c>
    </row>
    <row r="82" spans="2:5" x14ac:dyDescent="0.25">
      <c r="B82" s="10">
        <v>2005</v>
      </c>
      <c r="C82" s="111">
        <f>' Per Cápita 06'!B79</f>
        <v>62.947782000000004</v>
      </c>
      <c r="D82" s="2">
        <f t="shared" si="2"/>
        <v>510.04738000000003</v>
      </c>
      <c r="E82" s="79">
        <f t="shared" si="3"/>
        <v>1.2341555798208395E-9</v>
      </c>
    </row>
    <row r="83" spans="2:5" x14ac:dyDescent="0.25">
      <c r="B83" s="10">
        <v>2006</v>
      </c>
      <c r="C83" s="111">
        <f>' Per Cápita 06'!B80</f>
        <v>81.527379999999994</v>
      </c>
      <c r="D83" s="2">
        <f t="shared" si="2"/>
        <v>579.25911999999994</v>
      </c>
      <c r="E83" s="79">
        <f t="shared" si="3"/>
        <v>1.4074423204592793E-9</v>
      </c>
    </row>
    <row r="84" spans="2:5" x14ac:dyDescent="0.25">
      <c r="B84" s="10">
        <v>2007</v>
      </c>
      <c r="C84" s="111">
        <f>' Per Cápita 06'!B81</f>
        <v>42.998269000000001</v>
      </c>
      <c r="D84" s="2">
        <f t="shared" si="2"/>
        <v>631.73307999999997</v>
      </c>
      <c r="E84" s="79">
        <f t="shared" si="3"/>
        <v>6.8063982022280685E-10</v>
      </c>
    </row>
    <row r="85" spans="2:5" x14ac:dyDescent="0.25">
      <c r="B85" s="10">
        <v>2008</v>
      </c>
      <c r="C85" s="111">
        <f>' Per Cápita 06'!B82</f>
        <v>49.922836000000004</v>
      </c>
      <c r="D85" s="2">
        <f t="shared" si="2"/>
        <v>713.98906000000011</v>
      </c>
      <c r="E85" s="79">
        <f t="shared" si="3"/>
        <v>6.9921009714070405E-10</v>
      </c>
    </row>
    <row r="86" spans="2:5" x14ac:dyDescent="0.25">
      <c r="B86" s="10">
        <v>2009</v>
      </c>
      <c r="C86" s="111">
        <f>' Per Cápita 06'!B83</f>
        <v>67.243232000000006</v>
      </c>
      <c r="D86" s="2">
        <f t="shared" si="2"/>
        <v>827.92747999999995</v>
      </c>
      <c r="E86" s="79">
        <f t="shared" si="3"/>
        <v>8.1218746356866915E-10</v>
      </c>
    </row>
    <row r="87" spans="2:5" x14ac:dyDescent="0.25">
      <c r="B87" s="10">
        <v>2010</v>
      </c>
      <c r="C87" s="111">
        <f>' Per Cápita 06'!B84</f>
        <v>94.104317000000009</v>
      </c>
      <c r="D87" s="2">
        <f t="shared" si="2"/>
        <v>953.45824000000005</v>
      </c>
      <c r="E87" s="79">
        <f t="shared" si="3"/>
        <v>9.8697890533727009E-10</v>
      </c>
    </row>
    <row r="88" spans="2:5" x14ac:dyDescent="0.25">
      <c r="B88" s="10">
        <v>2011</v>
      </c>
      <c r="C88" s="111">
        <f>' Per Cápita 06'!B85</f>
        <v>75.518884</v>
      </c>
      <c r="D88" s="2">
        <f t="shared" si="2"/>
        <v>899.81057999999996</v>
      </c>
      <c r="E88" s="79">
        <f t="shared" si="3"/>
        <v>8.3927535059656668E-10</v>
      </c>
    </row>
    <row r="89" spans="2:5" x14ac:dyDescent="0.25">
      <c r="B89" s="10">
        <v>2012</v>
      </c>
      <c r="C89" s="111">
        <f>' Per Cápita 06'!B86</f>
        <v>105.04465399999999</v>
      </c>
      <c r="D89" s="2">
        <f t="shared" si="2"/>
        <v>989.41625999999997</v>
      </c>
      <c r="E89" s="79">
        <f t="shared" si="3"/>
        <v>1.0616831180841923E-9</v>
      </c>
    </row>
    <row r="90" spans="2:5" x14ac:dyDescent="0.25">
      <c r="B90" s="10">
        <v>2013</v>
      </c>
      <c r="C90" s="111">
        <f>' Per Cápita 06'!B87</f>
        <v>71.364041999999998</v>
      </c>
      <c r="D90" s="2">
        <f t="shared" si="2"/>
        <v>1170.8926799999999</v>
      </c>
      <c r="E90" s="79">
        <f t="shared" si="3"/>
        <v>6.0948405621598044E-10</v>
      </c>
    </row>
    <row r="91" spans="2:5" x14ac:dyDescent="0.25">
      <c r="B91" s="10">
        <v>2014</v>
      </c>
      <c r="C91" s="111">
        <f>' Per Cápita 06'!B88</f>
        <v>112.912856</v>
      </c>
      <c r="D91" s="2">
        <f t="shared" si="2"/>
        <v>1214.6188999999999</v>
      </c>
      <c r="E91" s="79">
        <f t="shared" si="3"/>
        <v>9.2961550326608631E-10</v>
      </c>
    </row>
    <row r="92" spans="2:5" x14ac:dyDescent="0.25">
      <c r="B92" s="11">
        <v>2015</v>
      </c>
      <c r="C92" s="111">
        <f>' Per Cápita 06'!B89</f>
        <v>94.852463</v>
      </c>
      <c r="D92" s="2">
        <f t="shared" si="2"/>
        <v>1290.6626000000001</v>
      </c>
      <c r="E92" s="79">
        <f t="shared" si="3"/>
        <v>7.3491292766986501E-10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A26" zoomScale="80" zoomScaleNormal="80" workbookViewId="0">
      <selection activeCell="F34" sqref="F34:F58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19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74">
        <f>'Balanza c 06'!B2</f>
        <v>33.097741999999997</v>
      </c>
      <c r="C5" s="27">
        <v>881.41649700000005</v>
      </c>
      <c r="D5" s="2">
        <v>1806.394</v>
      </c>
      <c r="E5" s="5">
        <v>218.072048</v>
      </c>
      <c r="F5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3.0102852958781842E-2</v>
      </c>
      <c r="G5" s="7" t="s">
        <v>96</v>
      </c>
      <c r="L5" s="49" t="s">
        <v>97</v>
      </c>
    </row>
    <row r="6" spans="1:17" x14ac:dyDescent="0.25">
      <c r="A6" s="10">
        <v>1992</v>
      </c>
      <c r="B6" s="74">
        <f>'Balanza c 06'!B3</f>
        <v>29.162423999999998</v>
      </c>
      <c r="C6" s="27">
        <v>983.24995899999999</v>
      </c>
      <c r="D6" s="2">
        <v>3152.6379999999999</v>
      </c>
      <c r="E6" s="5">
        <v>433.62799100000001</v>
      </c>
      <c r="F6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2.0582170821417608E-2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74">
        <f>'Balanza c 06'!B4</f>
        <v>36.211322000000003</v>
      </c>
      <c r="C7" s="27">
        <v>959.41936999999996</v>
      </c>
      <c r="D7" s="2">
        <v>3215.2869999999998</v>
      </c>
      <c r="E7" s="5">
        <v>473.60294699999997</v>
      </c>
      <c r="F7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2.5269196139113586E-2</v>
      </c>
      <c r="G7" s="1"/>
      <c r="M7" s="49"/>
      <c r="N7" s="49"/>
      <c r="O7" s="49"/>
    </row>
    <row r="8" spans="1:17" x14ac:dyDescent="0.25">
      <c r="A8" s="10">
        <v>1994</v>
      </c>
      <c r="B8" s="74">
        <f>'Balanza c 06'!B5</f>
        <v>42.979393999999999</v>
      </c>
      <c r="C8" s="27">
        <v>1017.331577</v>
      </c>
      <c r="D8" s="2">
        <v>4474.9809999999998</v>
      </c>
      <c r="E8" s="5">
        <v>632.10264900000004</v>
      </c>
      <c r="F8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2.6057052365299954E-2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74">
        <f>'Balanza c 06'!B6</f>
        <v>37.298679999999997</v>
      </c>
      <c r="C9" s="27">
        <v>1038.4779860000001</v>
      </c>
      <c r="D9" s="2">
        <v>3992.277</v>
      </c>
      <c r="E9" s="5">
        <v>792.92823299999998</v>
      </c>
      <c r="F9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2.0366142482778148E-2</v>
      </c>
      <c r="G9" s="1"/>
    </row>
    <row r="10" spans="1:17" x14ac:dyDescent="0.25">
      <c r="A10" s="10">
        <v>1996</v>
      </c>
      <c r="B10" s="74">
        <f>'Balanza c 06'!B7</f>
        <v>55.851317000000002</v>
      </c>
      <c r="C10" s="27">
        <v>1068.2126330000001</v>
      </c>
      <c r="D10" s="2">
        <v>5379.8019999999997</v>
      </c>
      <c r="E10" s="5">
        <v>1032.147324</v>
      </c>
      <c r="F10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2.6591307272765721E-2</v>
      </c>
      <c r="G10" s="1"/>
      <c r="H10" s="114"/>
    </row>
    <row r="11" spans="1:17" x14ac:dyDescent="0.25">
      <c r="A11" s="10">
        <v>1997</v>
      </c>
      <c r="B11" s="74">
        <f>'Balanza c 06'!B8</f>
        <v>47.290410000000001</v>
      </c>
      <c r="C11" s="27">
        <v>1133.477727</v>
      </c>
      <c r="D11" s="2">
        <v>3821.105</v>
      </c>
      <c r="E11" s="5">
        <v>969.76201700000001</v>
      </c>
      <c r="F11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2.2484555141612995E-2</v>
      </c>
      <c r="G11" s="1"/>
    </row>
    <row r="12" spans="1:17" x14ac:dyDescent="0.25">
      <c r="A12" s="10">
        <v>1998</v>
      </c>
      <c r="B12" s="74">
        <f>'Balanza c 06'!B9</f>
        <v>61.172373</v>
      </c>
      <c r="C12" s="27">
        <v>1185.2250309999999</v>
      </c>
      <c r="D12" s="2">
        <v>3538.69</v>
      </c>
      <c r="E12" s="5">
        <v>942.82702099999995</v>
      </c>
      <c r="F12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2.8745712748195502E-2</v>
      </c>
      <c r="G12" s="1"/>
    </row>
    <row r="13" spans="1:17" x14ac:dyDescent="0.25">
      <c r="A13" s="10">
        <v>1999</v>
      </c>
      <c r="B13" s="74">
        <f>'Balanza c 06'!B10</f>
        <v>30.501275999999997</v>
      </c>
      <c r="C13" s="27">
        <v>1221.7329010000001</v>
      </c>
      <c r="D13" s="2">
        <v>3328.6469999999999</v>
      </c>
      <c r="E13" s="5">
        <v>718.368246</v>
      </c>
      <c r="F13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1.5721487535412502E-2</v>
      </c>
      <c r="G13" s="1"/>
    </row>
    <row r="14" spans="1:17" x14ac:dyDescent="0.25">
      <c r="A14" s="10">
        <v>2000</v>
      </c>
      <c r="B14" s="74">
        <f>'Balanza c 06'!B11</f>
        <v>27.018269</v>
      </c>
      <c r="C14" s="27">
        <v>1182.814787</v>
      </c>
      <c r="D14" s="2">
        <v>2423.2669999999998</v>
      </c>
      <c r="E14" s="5">
        <v>800.71074399999998</v>
      </c>
      <c r="F14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1.3621336644141235E-2</v>
      </c>
      <c r="G14" s="1"/>
    </row>
    <row r="15" spans="1:17" x14ac:dyDescent="0.25">
      <c r="A15" s="10">
        <v>2001</v>
      </c>
      <c r="B15" s="74">
        <f>'Balanza c 06'!B12</f>
        <v>29.995757000000001</v>
      </c>
      <c r="C15" s="27">
        <v>1144.9792580000001</v>
      </c>
      <c r="D15" s="2">
        <v>3458.69</v>
      </c>
      <c r="E15" s="5">
        <v>806.63776399999995</v>
      </c>
      <c r="F15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1.5369694290358574E-2</v>
      </c>
      <c r="G15" s="1"/>
    </row>
    <row r="16" spans="1:17" x14ac:dyDescent="0.25">
      <c r="A16" s="10">
        <v>2002</v>
      </c>
      <c r="B16" s="74">
        <f>'Balanza c 06'!B13</f>
        <v>31.774213000000003</v>
      </c>
      <c r="C16" s="27">
        <v>1201.0997769999999</v>
      </c>
      <c r="D16" s="2">
        <v>3495.8850000000002</v>
      </c>
      <c r="E16" s="5">
        <v>914.29077400000006</v>
      </c>
      <c r="F16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1.5020494908129144E-2</v>
      </c>
      <c r="G16" s="1"/>
    </row>
    <row r="17" spans="1:7" x14ac:dyDescent="0.25">
      <c r="A17" s="10">
        <v>2003</v>
      </c>
      <c r="B17" s="74">
        <f>'Balanza c 06'!B14</f>
        <v>53.366145000000003</v>
      </c>
      <c r="C17" s="27">
        <v>1198.522637</v>
      </c>
      <c r="D17" s="2">
        <v>4221.4390000000003</v>
      </c>
      <c r="E17" s="5">
        <v>964.07554868999978</v>
      </c>
      <c r="F17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2.4676865704006391E-2</v>
      </c>
      <c r="G17" s="1"/>
    </row>
    <row r="18" spans="1:7" x14ac:dyDescent="0.25">
      <c r="A18" s="10">
        <v>2004</v>
      </c>
      <c r="B18" s="74">
        <f>'Balanza c 06'!B15</f>
        <v>46.517001</v>
      </c>
      <c r="C18" s="27">
        <v>1414.1092617499999</v>
      </c>
      <c r="D18" s="2">
        <v>2268.058</v>
      </c>
      <c r="E18" s="5">
        <v>1096.5766716700007</v>
      </c>
      <c r="F18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1.8527606492236795E-2</v>
      </c>
      <c r="G18" s="1"/>
    </row>
    <row r="19" spans="1:7" x14ac:dyDescent="0.25">
      <c r="A19" s="10">
        <v>2005</v>
      </c>
      <c r="B19" s="74">
        <f>'Balanza c 06'!B16</f>
        <v>53.184724000000003</v>
      </c>
      <c r="C19" s="27">
        <v>1724.6291241099998</v>
      </c>
      <c r="D19" s="2">
        <v>3775.5949999999998</v>
      </c>
      <c r="E19" s="5">
        <v>1034.5303382900004</v>
      </c>
      <c r="F19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1.927569780752662E-2</v>
      </c>
      <c r="G19" s="1"/>
    </row>
    <row r="20" spans="1:7" x14ac:dyDescent="0.25">
      <c r="A20" s="10">
        <v>2006</v>
      </c>
      <c r="B20" s="74">
        <f>'Balanza c 06'!B17</f>
        <v>67.058784000000003</v>
      </c>
      <c r="C20" s="27">
        <v>1872.3784980099981</v>
      </c>
      <c r="D20" s="2">
        <v>3769.5279999999998</v>
      </c>
      <c r="E20" s="5">
        <v>1257.3132665799999</v>
      </c>
      <c r="F20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2.1426641677214808E-2</v>
      </c>
      <c r="G20" s="1"/>
    </row>
    <row r="21" spans="1:7" x14ac:dyDescent="0.25">
      <c r="A21" s="10">
        <v>2007</v>
      </c>
      <c r="B21" s="74">
        <f>'Balanza c 06'!B18</f>
        <v>20.003582999999999</v>
      </c>
      <c r="C21" s="26">
        <v>2122.5042788000019</v>
      </c>
      <c r="D21" s="2">
        <v>4219.6670000000004</v>
      </c>
      <c r="E21" s="5">
        <v>1695.4131790200004</v>
      </c>
      <c r="F21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5.2393964041909571E-3</v>
      </c>
      <c r="G21" s="1"/>
    </row>
    <row r="22" spans="1:7" x14ac:dyDescent="0.25">
      <c r="A22" s="10">
        <v>2008</v>
      </c>
      <c r="B22" s="74">
        <f>'Balanza c 06'!B19</f>
        <v>27.489628</v>
      </c>
      <c r="C22" s="26">
        <v>2146.3400352200028</v>
      </c>
      <c r="D22" s="2">
        <v>4908.3850000000002</v>
      </c>
      <c r="E22" s="5">
        <v>2236.8973823599977</v>
      </c>
      <c r="F22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6.2715352560521603E-3</v>
      </c>
      <c r="G22" s="1"/>
    </row>
    <row r="23" spans="1:7" x14ac:dyDescent="0.25">
      <c r="A23" s="10">
        <v>2009</v>
      </c>
      <c r="B23" s="74">
        <f>'Balanza c 06'!B20</f>
        <v>53.277661999999999</v>
      </c>
      <c r="C23" s="26">
        <v>2095.9589286500013</v>
      </c>
      <c r="D23" s="2">
        <v>4795.9279999999999</v>
      </c>
      <c r="E23" s="5">
        <v>1750.4526144300014</v>
      </c>
      <c r="F23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1.385126406867479E-2</v>
      </c>
      <c r="G23" s="1"/>
    </row>
    <row r="24" spans="1:7" x14ac:dyDescent="0.25">
      <c r="A24" s="10">
        <v>2010</v>
      </c>
      <c r="B24" s="74">
        <f>'Balanza c 06'!B21</f>
        <v>80.021263000000005</v>
      </c>
      <c r="C24" s="26">
        <v>2166.04730251</v>
      </c>
      <c r="D24" s="2">
        <v>912.50599999999997</v>
      </c>
      <c r="E24" s="5">
        <v>2018.9772672800029</v>
      </c>
      <c r="F24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1.9120858591283093E-2</v>
      </c>
      <c r="G24" s="1"/>
    </row>
    <row r="25" spans="1:7" x14ac:dyDescent="0.25">
      <c r="A25" s="10">
        <v>2011</v>
      </c>
      <c r="B25" s="74">
        <f>'Balanza c 06'!B22</f>
        <v>56.687427999999997</v>
      </c>
      <c r="C25" s="26">
        <v>2284.3647235700028</v>
      </c>
      <c r="D25" s="2">
        <v>1611.5440000000001</v>
      </c>
      <c r="E25" s="5">
        <v>2563.9037290099977</v>
      </c>
      <c r="F25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1.1692303871876947E-2</v>
      </c>
      <c r="G25" s="1"/>
    </row>
    <row r="26" spans="1:7" x14ac:dyDescent="0.25">
      <c r="A26" s="10">
        <v>2012</v>
      </c>
      <c r="B26" s="74">
        <f>'Balanza c 06'!B23</f>
        <v>72.973606000000004</v>
      </c>
      <c r="C26" s="26">
        <v>2636.1765412600002</v>
      </c>
      <c r="D26" s="2">
        <v>1734.827</v>
      </c>
      <c r="E26" s="5">
        <v>2705.0876101299973</v>
      </c>
      <c r="F26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1.3662234993753216E-2</v>
      </c>
      <c r="G26" s="1"/>
    </row>
    <row r="27" spans="1:7" x14ac:dyDescent="0.25">
      <c r="A27" s="10">
        <v>2013</v>
      </c>
      <c r="B27" s="74">
        <f>'Balanza c 06'!B24</f>
        <v>39.112250000000003</v>
      </c>
      <c r="C27" s="26">
        <v>2651.0931387399996</v>
      </c>
      <c r="D27" s="2">
        <v>1652.723</v>
      </c>
      <c r="E27" s="5">
        <v>2581.5323848800022</v>
      </c>
      <c r="F27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7.4746892976475824E-3</v>
      </c>
      <c r="G27" s="1"/>
    </row>
    <row r="28" spans="1:7" x14ac:dyDescent="0.25">
      <c r="A28" s="10">
        <v>2014</v>
      </c>
      <c r="B28" s="74">
        <f>'Balanza c 06'!B25</f>
        <v>82.094502000000006</v>
      </c>
      <c r="C28" s="26">
        <v>2568.3085408999968</v>
      </c>
      <c r="D28" s="2">
        <v>1246.8779999999999</v>
      </c>
      <c r="E28" s="5">
        <v>2532.8550979199972</v>
      </c>
      <c r="F28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1.609328925958356E-2</v>
      </c>
      <c r="G28" s="1"/>
    </row>
    <row r="29" spans="1:7" x14ac:dyDescent="0.25">
      <c r="A29" s="11">
        <v>2015</v>
      </c>
      <c r="B29" s="74">
        <f>'Balanza c 06'!B26</f>
        <v>68.128354999999999</v>
      </c>
      <c r="C29" s="3">
        <v>2443.4283642899991</v>
      </c>
      <c r="D29" s="2">
        <v>520.46799999999996</v>
      </c>
      <c r="E29" s="5">
        <v>2376.0279714999997</v>
      </c>
      <c r="F29" s="113">
        <f>(Tabla191011133145115[[#This Row],[Total Balanza Comercial de Colombia (US$ millones)]])/(Tabla191011133145115[[#This Row],[Total exportaciones de Colombia hacia el mundo
  (US$ millones FOB)]]+Tabla191011133145115[[#This Row],[Total Importaciones Colombia (US$millones CIF)]])</f>
        <v>1.4136107945219611E-2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20</v>
      </c>
      <c r="C33" s="29" t="s">
        <v>121</v>
      </c>
      <c r="D33" s="29" t="s">
        <v>159</v>
      </c>
      <c r="E33" s="29" t="s">
        <v>160</v>
      </c>
      <c r="F33" s="29" t="s">
        <v>23</v>
      </c>
      <c r="G33" s="28" t="s">
        <v>24</v>
      </c>
    </row>
    <row r="34" spans="1:17" x14ac:dyDescent="0.25">
      <c r="A34" s="31">
        <v>1991</v>
      </c>
      <c r="B34" s="73">
        <f>'Participación Mundial 06'!C6</f>
        <v>34.710495999999999</v>
      </c>
      <c r="C34" s="26">
        <v>2823.8</v>
      </c>
      <c r="D34" s="27">
        <v>84.101591999999997</v>
      </c>
      <c r="E34" s="27">
        <v>7.2686346239999997</v>
      </c>
      <c r="F34" s="127">
        <f>((Tabla19101113143246116[[#This Row],[Total exportaciones del grupo
 a USA (US$ millones)]]*1000)/(Tabla19101113143246116[[#This Row],[Total exportaciones
 a USA (US$ miles)]])/((D34/1000/E34)))</f>
        <v>1062.3692884800823</v>
      </c>
      <c r="G34" s="98" t="str">
        <f>IF(Tabla19101113143246116[[#This Row],[Indice de Balassa]]&gt;0.33,"VENTAJA","NO VENTAJA")</f>
        <v>VENTAJA</v>
      </c>
    </row>
    <row r="35" spans="1:17" x14ac:dyDescent="0.25">
      <c r="A35" s="31">
        <v>1992</v>
      </c>
      <c r="B35" s="73">
        <f>'Participación Mundial 06'!C7</f>
        <v>31.046907999999998</v>
      </c>
      <c r="C35" s="26">
        <v>2722.5</v>
      </c>
      <c r="D35" s="27">
        <v>139.34731199999999</v>
      </c>
      <c r="E35" s="27">
        <v>6.9160427520000001</v>
      </c>
      <c r="F35" s="127">
        <f>((Tabla19101113143246116[[#This Row],[Total exportaciones del grupo
 a USA (US$ millones)]]*1000)/(Tabla19101113143246116[[#This Row],[Total exportaciones
 a USA (US$ miles)]])/((D35/1000/E35)))</f>
        <v>565.99101894231273</v>
      </c>
      <c r="G35" s="98" t="str">
        <f>IF(Tabla19101113143246116[[#This Row],[Indice de Balassa]]&gt;0.33,"VENTAJA","NO VENTAJA")</f>
        <v>VENTAJA</v>
      </c>
    </row>
    <row r="36" spans="1:17" x14ac:dyDescent="0.25">
      <c r="A36" s="31">
        <v>1993</v>
      </c>
      <c r="B36" s="73">
        <f>'Participación Mundial 06'!C8</f>
        <v>38.090372000000002</v>
      </c>
      <c r="C36" s="26">
        <v>2850.21</v>
      </c>
      <c r="D36" s="27">
        <v>182.958688</v>
      </c>
      <c r="E36" s="27">
        <v>7.1234385920000003</v>
      </c>
      <c r="F36" s="127">
        <f>((Tabla19101113143246116[[#This Row],[Total exportaciones del grupo
 a USA (US$ millones)]]*1000)/(Tabla19101113143246116[[#This Row],[Total exportaciones
 a USA (US$ miles)]])/((D36/1000/E36)))</f>
        <v>520.3253705136699</v>
      </c>
      <c r="G36" s="98" t="str">
        <f>IF(Tabla19101113143246116[[#This Row],[Indice de Balassa]]&gt;0.33,"VENTAJA","NO VENTAJA")</f>
        <v>VENTAJA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f>'Participación Mundial 06'!C9</f>
        <v>47.060023999999999</v>
      </c>
      <c r="C37" s="26">
        <v>3164.92</v>
      </c>
      <c r="D37" s="27">
        <v>229.47900799999999</v>
      </c>
      <c r="E37" s="27">
        <v>8.5375165440000007</v>
      </c>
      <c r="F37" s="127">
        <f>((Tabla19101113143246116[[#This Row],[Total exportaciones del grupo
 a USA (US$ millones)]]*1000)/(Tabla19101113143246116[[#This Row],[Total exportaciones
 a USA (US$ miles)]])/((D37/1000/E37)))</f>
        <v>553.19468900333402</v>
      </c>
      <c r="G37" s="98" t="str">
        <f>IF(Tabla19101113143246116[[#This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>
        <f>'Participación Mundial 06'!C10</f>
        <v>41.068123999999997</v>
      </c>
      <c r="C38" s="26">
        <v>3627.72</v>
      </c>
      <c r="D38" s="27">
        <v>290.79529600000001</v>
      </c>
      <c r="E38" s="27">
        <v>10.201048064</v>
      </c>
      <c r="F38" s="127">
        <f>((Tabla19101113143246116[[#This Row],[Total exportaciones del grupo
 a USA (US$ millones)]]*1000)/(Tabla19101113143246116[[#This Row],[Total exportaciones
 a USA (US$ miles)]])/((D38/1000/E38)))</f>
        <v>397.12618357823294</v>
      </c>
      <c r="G38" s="98" t="str">
        <f>IF(Tabla19101113143246116[[#This Row],[Indice de Balassa]]&gt;0.33,"VENTAJA","NO VENTAJA")</f>
        <v>VENTAJA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f>'Participación Mundial 06'!C11</f>
        <v>60.505304000000002</v>
      </c>
      <c r="C39" s="26">
        <v>4282.93</v>
      </c>
      <c r="D39" s="27">
        <v>267.31614400000001</v>
      </c>
      <c r="E39" s="27">
        <v>10.647555071999999</v>
      </c>
      <c r="F39" s="127">
        <f>((Tabla19101113143246116[[#This Row],[Total exportaciones del grupo
 a USA (US$ millones)]]*1000)/(Tabla19101113143246116[[#This Row],[Total exportaciones
 a USA (US$ miles)]])/((D39/1000/E39)))</f>
        <v>562.70034074853447</v>
      </c>
      <c r="G39" s="98" t="str">
        <f>IF(Tabla19101113143246116[[#This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>
        <f>'Participación Mundial 06'!C12</f>
        <v>51.986088000000002</v>
      </c>
      <c r="C40" s="26">
        <v>4379.28</v>
      </c>
      <c r="D40" s="27">
        <v>31.874351999999998</v>
      </c>
      <c r="E40" s="27">
        <v>11.549019136</v>
      </c>
      <c r="F40" s="127">
        <f>((Tabla19101113143246116[[#This Row],[Total exportaciones del grupo
 a USA (US$ millones)]]*1000)/(Tabla19101113143246116[[#This Row],[Total exportaciones
 a USA (US$ miles)]])/((D40/1000/E40)))</f>
        <v>4301.1853746028737</v>
      </c>
      <c r="G40" s="98" t="str">
        <f>IF(Tabla19101113143246116[[#This Row],[Indice de Balassa]]&gt;0.33,"VENTAJA","NO VENTAJA")</f>
        <v>VENTAJA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>
        <f>'Participación Mundial 06'!C13</f>
        <v>66.543272000000002</v>
      </c>
      <c r="C41" s="26">
        <v>4139.68</v>
      </c>
      <c r="D41" s="27">
        <v>39.564703999999999</v>
      </c>
      <c r="E41" s="27">
        <v>10.8212224</v>
      </c>
      <c r="F41" s="127">
        <f>((Tabla19101113143246116[[#This Row],[Total exportaciones del grupo
 a USA (US$ millones)]]*1000)/(Tabla19101113143246116[[#This Row],[Total exportaciones
 a USA (US$ miles)]])/((D41/1000/E41)))</f>
        <v>4396.4868902904409</v>
      </c>
      <c r="G41" s="98" t="str">
        <f>IF(Tabla19101113143246116[[#This Row],[Indice de Balassa]]&gt;0.33,"VENTAJA","NO VENTAJA")</f>
        <v>VENTAJA</v>
      </c>
      <c r="M41" t="s">
        <v>101</v>
      </c>
    </row>
    <row r="42" spans="1:17" x14ac:dyDescent="0.25">
      <c r="A42" s="31">
        <v>1999</v>
      </c>
      <c r="B42" s="73">
        <f>'Participación Mundial 06'!C14</f>
        <v>35.998551999999997</v>
      </c>
      <c r="C42" s="26">
        <v>5817.43</v>
      </c>
      <c r="D42" s="27">
        <v>295.79148800000002</v>
      </c>
      <c r="E42" s="27">
        <v>11.617030143999999</v>
      </c>
      <c r="F42" s="127">
        <f>((Tabla19101113143246116[[#This Row],[Total exportaciones del grupo
 a USA (US$ millones)]]*1000)/(Tabla19101113143246116[[#This Row],[Total exportaciones
 a USA (US$ miles)]])/((D42/1000/E42)))</f>
        <v>243.03191559871848</v>
      </c>
      <c r="G42" s="98" t="str">
        <f>IF(Tabla19101113143246116[[#This Row],[Indice de Balassa]]&gt;0.33,"VENTAJA","NO VENTAJA")</f>
        <v>VENTAJA</v>
      </c>
    </row>
    <row r="43" spans="1:17" x14ac:dyDescent="0.25">
      <c r="A43" s="31">
        <v>2000</v>
      </c>
      <c r="B43" s="73">
        <f>'Participación Mundial 06'!C15</f>
        <v>31.175438</v>
      </c>
      <c r="C43" s="26">
        <v>6632.13</v>
      </c>
      <c r="D43" s="27">
        <v>303.82532600000002</v>
      </c>
      <c r="E43" s="27">
        <v>13.158400846999999</v>
      </c>
      <c r="F43" s="127">
        <f>((Tabla19101113143246116[[#This Row],[Total exportaciones del grupo
 a USA (US$ millones)]]*1000)/(Tabla19101113143246116[[#This Row],[Total exportaciones
 a USA (US$ miles)]])/((D43/1000/E43)))</f>
        <v>203.58167020963162</v>
      </c>
      <c r="G43" s="98" t="str">
        <f>IF(Tabla19101113143246116[[#This Row],[Indice de Balassa]]&gt;0.33,"VENTAJA","NO VENTAJA")</f>
        <v>VENTAJA</v>
      </c>
    </row>
    <row r="44" spans="1:17" x14ac:dyDescent="0.25">
      <c r="A44" s="31">
        <v>2001</v>
      </c>
      <c r="B44" s="73">
        <f>'Participación Mundial 06'!C16</f>
        <v>34.390827000000002</v>
      </c>
      <c r="C44" s="26">
        <v>5344.53</v>
      </c>
      <c r="D44" s="27">
        <v>342.99910699999998</v>
      </c>
      <c r="E44" s="27">
        <v>12.301486486</v>
      </c>
      <c r="F44" s="127">
        <f>((Tabla19101113143246116[[#This Row],[Total exportaciones del grupo
 a USA (US$ millones)]]*1000)/(Tabla19101113143246116[[#This Row],[Total exportaciones
 a USA (US$ miles)]])/((D44/1000/E44)))</f>
        <v>230.77975330281274</v>
      </c>
      <c r="G44" s="98" t="str">
        <f>IF(Tabla19101113143246116[[#This Row],[Indice de Balassa]]&gt;0.33,"VENTAJA","NO VENTAJA")</f>
        <v>VENTAJA</v>
      </c>
    </row>
    <row r="45" spans="1:17" x14ac:dyDescent="0.25">
      <c r="A45" s="31">
        <v>2002</v>
      </c>
      <c r="B45" s="73">
        <f>'Participación Mundial 06'!C17</f>
        <v>35.354666000000002</v>
      </c>
      <c r="C45" s="26">
        <v>5328.47</v>
      </c>
      <c r="D45" s="27">
        <v>340.736965</v>
      </c>
      <c r="E45" s="27">
        <v>11.897488381000001</v>
      </c>
      <c r="F45" s="127">
        <f>((Tabla19101113143246116[[#This Row],[Total exportaciones del grupo
 a USA (US$ millones)]]*1000)/(Tabla19101113143246116[[#This Row],[Total exportaciones
 a USA (US$ miles)]])/((D45/1000/E45)))</f>
        <v>231.67557648939055</v>
      </c>
      <c r="G45" s="98" t="str">
        <f>IF(Tabla19101113143246116[[#This Row],[Indice de Balassa]]&gt;0.33,"VENTAJA","NO VENTAJA")</f>
        <v>VENTAJA</v>
      </c>
    </row>
    <row r="46" spans="1:17" x14ac:dyDescent="0.25">
      <c r="A46" s="31">
        <v>2003</v>
      </c>
      <c r="B46" s="73">
        <f>'Participación Mundial 06'!C18</f>
        <v>56.438361</v>
      </c>
      <c r="C46" s="26">
        <v>6160.2</v>
      </c>
      <c r="D46" s="27">
        <v>353.01210099999997</v>
      </c>
      <c r="E46" s="27">
        <v>13.092218068999999</v>
      </c>
      <c r="F46" s="127">
        <f>((Tabla19101113143246116[[#This Row],[Total exportaciones del grupo
 a USA (US$ millones)]]*1000)/(Tabla19101113143246116[[#This Row],[Total exportaciones
 a USA (US$ miles)]])/((D46/1000/E46)))</f>
        <v>339.7842297144901</v>
      </c>
      <c r="G46" s="98" t="str">
        <f>IF(Tabla19101113143246116[[#This Row],[Indice de Balassa]]&gt;0.33,"VENTAJA","NO VENTAJA")</f>
        <v>VENTAJA</v>
      </c>
    </row>
    <row r="47" spans="1:17" x14ac:dyDescent="0.25">
      <c r="A47" s="31">
        <v>2004</v>
      </c>
      <c r="B47" s="73">
        <f>'Participación Mundial 06'!C19</f>
        <v>50.564785000000001</v>
      </c>
      <c r="C47" s="26">
        <v>7042.2</v>
      </c>
      <c r="D47" s="27">
        <v>382.32937399999997</v>
      </c>
      <c r="E47" s="27">
        <v>16.729677706</v>
      </c>
      <c r="F47" s="127">
        <f>((Tabla19101113143246116[[#This Row],[Total exportaciones del grupo
 a USA (US$ millones)]]*1000)/(Tabla19101113143246116[[#This Row],[Total exportaciones
 a USA (US$ miles)]])/((D47/1000/E47)))</f>
        <v>314.18809043755329</v>
      </c>
      <c r="G47" s="98" t="str">
        <f>IF(Tabla19101113143246116[[#This Row],[Indice de Balassa]]&gt;0.33,"VENTAJA","NO VENTAJA")</f>
        <v>VENTAJA</v>
      </c>
    </row>
    <row r="48" spans="1:17" x14ac:dyDescent="0.25">
      <c r="A48" s="31">
        <v>2005</v>
      </c>
      <c r="B48" s="73">
        <f>'Participación Mundial 06'!C20</f>
        <v>58.066253000000003</v>
      </c>
      <c r="C48" s="26">
        <v>8851.6299999999992</v>
      </c>
      <c r="D48" s="27">
        <v>456.17291699999998</v>
      </c>
      <c r="E48" s="27">
        <v>21.190438735000001</v>
      </c>
      <c r="F48" s="127">
        <f>((Tabla19101113143246116[[#This Row],[Total exportaciones del grupo
 a USA (US$ millones)]]*1000)/(Tabla19101113143246116[[#This Row],[Total exportaciones
 a USA (US$ miles)]])/((D48/1000/E48)))</f>
        <v>304.72704550862244</v>
      </c>
      <c r="G48" s="98" t="str">
        <f>IF(Tabla19101113143246116[[#This Row],[Indice de Balassa]]&gt;0.33,"VENTAJA","NO VENTAJA")</f>
        <v>VENTAJA</v>
      </c>
    </row>
    <row r="49" spans="1:25" x14ac:dyDescent="0.25">
      <c r="A49" s="31">
        <v>2006</v>
      </c>
      <c r="B49" s="73">
        <f>'Participación Mundial 06'!C21</f>
        <v>74.293081999999998</v>
      </c>
      <c r="C49" s="26">
        <v>9948.23</v>
      </c>
      <c r="D49" s="27">
        <v>568.97701300000006</v>
      </c>
      <c r="E49" s="27">
        <v>24.390975102999999</v>
      </c>
      <c r="F49" s="127">
        <f>((Tabla19101113143246116[[#This Row],[Total exportaciones del grupo
 a USA (US$ millones)]]*1000)/(Tabla19101113143246116[[#This Row],[Total exportaciones
 a USA (US$ miles)]])/((D49/1000/E49)))</f>
        <v>320.13783202647539</v>
      </c>
      <c r="G49" s="98" t="str">
        <f>IF(Tabla19101113143246116[[#This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f>'Participación Mundial 06'!C22</f>
        <v>31.500926</v>
      </c>
      <c r="C50" s="26">
        <v>10609.17</v>
      </c>
      <c r="D50" s="26">
        <v>494.37431900000001</v>
      </c>
      <c r="E50" s="26">
        <v>29.991332</v>
      </c>
      <c r="F50" s="127">
        <f>((Tabla19101113143246116[[#This Row],[Total exportaciones del grupo
 a USA (US$ millones)]]*1000)/(Tabla19101113143246116[[#This Row],[Total exportaciones
 a USA (US$ miles)]])/((D50/1000/E50)))</f>
        <v>180.12822263864035</v>
      </c>
      <c r="G50" s="98" t="str">
        <f>IF(Tabla19101113143246116[[#This Row],[Indice de Balassa]]&gt;0.33,"VENTAJA","NO VENTAJA")</f>
        <v>VENTAJA</v>
      </c>
    </row>
    <row r="51" spans="1:25" x14ac:dyDescent="0.25">
      <c r="A51" s="31">
        <v>2008</v>
      </c>
      <c r="B51" s="73">
        <f>'Participación Mundial 06'!C23</f>
        <v>38.706232</v>
      </c>
      <c r="C51" s="26">
        <v>14288.83</v>
      </c>
      <c r="D51" s="26">
        <v>398.01372099999998</v>
      </c>
      <c r="E51" s="26">
        <v>37.625882064999999</v>
      </c>
      <c r="F51" s="127">
        <f>((Tabla19101113143246116[[#This Row],[Total exportaciones del grupo
 a USA (US$ millones)]]*1000)/(Tabla19101113143246116[[#This Row],[Total exportaciones
 a USA (US$ miles)]])/((D51/1000/E51)))</f>
        <v>256.07835536957759</v>
      </c>
      <c r="G51" s="98" t="str">
        <f>IF(Tabla19101113143246116[[#This Row],[Indice de Balassa]]&gt;0.33,"VENTAJA","NO VENTAJA")</f>
        <v>VENTAJA</v>
      </c>
    </row>
    <row r="52" spans="1:25" x14ac:dyDescent="0.25">
      <c r="A52" s="31">
        <v>2009</v>
      </c>
      <c r="B52" s="73">
        <f>'Participación Mundial 06'!C24</f>
        <v>60.260446999999999</v>
      </c>
      <c r="C52" s="26">
        <v>13123.47</v>
      </c>
      <c r="D52" s="26">
        <v>626.17187200000001</v>
      </c>
      <c r="E52" s="26">
        <v>32.852985836999999</v>
      </c>
      <c r="F52" s="127">
        <f>((Tabla19101113143246116[[#This Row],[Total exportaciones del grupo
 a USA (US$ millones)]]*1000)/(Tabla19101113143246116[[#This Row],[Total exportaciones
 a USA (US$ miles)]])/((D52/1000/E52)))</f>
        <v>240.91561929882707</v>
      </c>
      <c r="G52" s="98" t="str">
        <f>IF(Tabla19101113143246116[[#This Row],[Indice de Balassa]]&gt;0.33,"VENTAJA","NO VENTAJA")</f>
        <v>VENTAJA</v>
      </c>
    </row>
    <row r="53" spans="1:25" x14ac:dyDescent="0.25">
      <c r="A53" s="31">
        <v>2010</v>
      </c>
      <c r="B53" s="73">
        <f>'Participación Mundial 06'!C25</f>
        <v>87.062790000000007</v>
      </c>
      <c r="C53" s="26">
        <v>17143.28</v>
      </c>
      <c r="D53" s="26">
        <v>673.84491400000002</v>
      </c>
      <c r="E53" s="26">
        <v>39.819528642000002</v>
      </c>
      <c r="F53" s="127">
        <f>((Tabla19101113143246116[[#This Row],[Total exportaciones del grupo
 a USA (US$ millones)]]*1000)/(Tabla19101113143246116[[#This Row],[Total exportaciones
 a USA (US$ miles)]])/((D53/1000/E53)))</f>
        <v>300.10609922150553</v>
      </c>
      <c r="G53" s="98" t="str">
        <f>IF(Tabla19101113143246116[[#This Row],[Indice de Balassa]]&gt;0.33,"VENTAJA","NO VENTAJA")</f>
        <v>VENTAJA</v>
      </c>
    </row>
    <row r="54" spans="1:25" x14ac:dyDescent="0.25">
      <c r="A54" s="31">
        <v>2011</v>
      </c>
      <c r="B54" s="73">
        <f>'Participación Mundial 06'!C26</f>
        <v>66.103155999999998</v>
      </c>
      <c r="C54" s="26">
        <v>21948.53</v>
      </c>
      <c r="D54" s="26">
        <v>878.28011300000003</v>
      </c>
      <c r="E54" s="26">
        <v>56.953516086</v>
      </c>
      <c r="F54" s="127">
        <f>((Tabla19101113143246116[[#This Row],[Total exportaciones del grupo
 a USA (US$ millones)]]*1000)/(Tabla19101113143246116[[#This Row],[Total exportaciones
 a USA (US$ miles)]])/((D54/1000/E54)))</f>
        <v>195.30090142259311</v>
      </c>
      <c r="G54" s="98" t="str">
        <f>IF(Tabla19101113143246116[[#This Row],[Indice de Balassa]]&gt;0.33,"VENTAJA","NO VENTAJA")</f>
        <v>VENTAJA</v>
      </c>
    </row>
    <row r="55" spans="1:25" x14ac:dyDescent="0.25">
      <c r="A55" s="31">
        <v>2012</v>
      </c>
      <c r="B55" s="73">
        <f>'Participación Mundial 06'!C27</f>
        <v>89.009129999999999</v>
      </c>
      <c r="C55" s="26">
        <v>22216.240000000002</v>
      </c>
      <c r="D55" s="26">
        <v>770.92679099999998</v>
      </c>
      <c r="E55" s="26">
        <v>60.273618167999999</v>
      </c>
      <c r="F55" s="127">
        <f>((Tabla19101113143246116[[#This Row],[Total exportaciones del grupo
 a USA (US$ millones)]]*1000)/(Tabla19101113143246116[[#This Row],[Total exportaciones
 a USA (US$ miles)]])/((D55/1000/E55)))</f>
        <v>313.24065387895331</v>
      </c>
      <c r="G55" s="98" t="str">
        <f>IF(Tabla19101113143246116[[#This Row],[Indice de Balassa]]&gt;0.33,"VENTAJA","NO VENTAJA")</f>
        <v>VENTAJA</v>
      </c>
    </row>
    <row r="56" spans="1:25" x14ac:dyDescent="0.25">
      <c r="A56" s="31">
        <v>2013</v>
      </c>
      <c r="B56" s="73">
        <f>'Participación Mundial 06'!C28</f>
        <v>55.238146</v>
      </c>
      <c r="C56" s="26">
        <v>18692.900000000001</v>
      </c>
      <c r="D56" s="26">
        <v>650.19262900000001</v>
      </c>
      <c r="E56" s="26">
        <v>58.821869986999999</v>
      </c>
      <c r="F56" s="127">
        <f>((Tabla19101113143246116[[#This Row],[Total exportaciones del grupo
 a USA (US$ millones)]]*1000)/(Tabla19101113143246116[[#This Row],[Total exportaciones
 a USA (US$ miles)]])/((D56/1000/E56)))</f>
        <v>267.33707750172198</v>
      </c>
      <c r="G56" s="98" t="str">
        <f>IF(Tabla19101113143246116[[#This Row],[Indice de Balassa]]&gt;0.33,"VENTAJA","NO VENTAJA")</f>
        <v>VENTAJA</v>
      </c>
    </row>
    <row r="57" spans="1:25" x14ac:dyDescent="0.25">
      <c r="A57" s="31">
        <v>2014</v>
      </c>
      <c r="B57" s="73">
        <f>'Participación Mundial 06'!C29</f>
        <v>97.503679000000005</v>
      </c>
      <c r="C57" s="26">
        <v>14470.7</v>
      </c>
      <c r="D57" s="26">
        <v>819.83457699999997</v>
      </c>
      <c r="E57" s="26">
        <v>54.794812014999998</v>
      </c>
      <c r="F57" s="127">
        <f>((Tabla19101113143246116[[#This Row],[Total exportaciones del grupo
 a USA (US$ millones)]]*1000)/(Tabla19101113143246116[[#This Row],[Total exportaciones
 a USA (US$ miles)]])/((D57/1000/E57)))</f>
        <v>450.34430294018978</v>
      </c>
      <c r="G57" s="98" t="str">
        <f>IF(Tabla19101113143246116[[#This Row],[Indice de Balassa]]&gt;0.33,"VENTAJA","NO VENTAJA")</f>
        <v>VENTAJA</v>
      </c>
    </row>
    <row r="58" spans="1:25" x14ac:dyDescent="0.25">
      <c r="A58" s="31">
        <v>2015</v>
      </c>
      <c r="B58" s="73">
        <f>'Participación Mundial 06'!C30</f>
        <v>81.490409</v>
      </c>
      <c r="C58" s="3">
        <v>14074</v>
      </c>
      <c r="D58" s="3">
        <v>610.53787499999999</v>
      </c>
      <c r="E58" s="3">
        <v>35.690766592999999</v>
      </c>
      <c r="F58" s="127">
        <f>((Tabla19101113143246116[[#This Row],[Total exportaciones del grupo
 a USA (US$ millones)]]*1000)/(Tabla19101113143246116[[#This Row],[Total exportaciones
 a USA (US$ miles)]])/((D58/1000/E58)))</f>
        <v>338.47937953594607</v>
      </c>
      <c r="G58" s="98" t="str">
        <f>IF(Tabla19101113143246116[[#This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28" t="s">
        <v>24</v>
      </c>
    </row>
    <row r="63" spans="1:25" x14ac:dyDescent="0.25">
      <c r="A63" s="31">
        <v>1991</v>
      </c>
      <c r="B63" s="73">
        <f>'Balanza c 06'!B2</f>
        <v>33.097741999999997</v>
      </c>
      <c r="C63" s="84">
        <f>'Apertura 06'!B184</f>
        <v>36.323250000000002</v>
      </c>
      <c r="D63" s="32">
        <f>1-(Tabla1910111314123347117[[#This Row],[Balanza Comercial Colombia 
( US$ millones)]]/Tabla1910111314123347117[[#This Row],[Balanza Comercial Absoluta Colombia 
(US$ millones)]])</f>
        <v>8.8800093603959018E-2</v>
      </c>
      <c r="E63" s="2" t="str">
        <f>IF(D63&gt;0.1&lt;0.33,"POTENCIAL CMRCIO INT",IF(D63&gt;0.33,"INDICIOS DE CMRCIO INT",IF(D63&lt;0.1,"REL. INTERINDUSTRIALES")))</f>
        <v>REL. INTERINDUSTRIALES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>
        <f>'Balanza c 06'!B3</f>
        <v>29.162423999999998</v>
      </c>
      <c r="C64" s="84">
        <f>'Apertura 06'!B185</f>
        <v>32.931391999999995</v>
      </c>
      <c r="D64" s="32">
        <f>1-(Tabla1910111314123347117[[#This Row],[Balanza Comercial Colombia 
( US$ millones)]]/Tabla1910111314123347117[[#This Row],[Balanza Comercial Absoluta Colombia 
(US$ millones)]])</f>
        <v>0.11444909465108544</v>
      </c>
      <c r="E64" s="2" t="s">
        <v>157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>
        <f>'Balanza c 06'!B4</f>
        <v>36.211322000000003</v>
      </c>
      <c r="C65" s="84">
        <f>'Apertura 06'!B186</f>
        <v>39.969422000000002</v>
      </c>
      <c r="D65" s="32">
        <f>1-(Tabla1910111314123347117[[#This Row],[Balanza Comercial Colombia 
( US$ millones)]]/Tabla1910111314123347117[[#This Row],[Balanza Comercial Absoluta Colombia 
(US$ millones)]])</f>
        <v>9.4024376934947917E-2</v>
      </c>
      <c r="E65" s="2" t="str">
        <f>IF(D65&gt;0.1&lt;0.33,"POTENCIAL CMRCIO INT",IF(D65&gt;0.33,"INDICIOS DE CMRCIO INT",IF(D65&lt;0.1,"REL. INTERINDUSTRIALES")))</f>
        <v>REL. INTERINDUSTRIALES</v>
      </c>
      <c r="G65" s="112"/>
      <c r="K65" s="49"/>
      <c r="M65" s="49"/>
      <c r="O65" s="49"/>
    </row>
    <row r="66" spans="1:15" x14ac:dyDescent="0.25">
      <c r="A66" s="31">
        <v>1994</v>
      </c>
      <c r="B66" s="73">
        <f>'Balanza c 06'!B5</f>
        <v>42.979393999999999</v>
      </c>
      <c r="C66" s="84">
        <f>'Apertura 06'!B187</f>
        <v>51.140653999999998</v>
      </c>
      <c r="D66" s="32">
        <f>1-(Tabla1910111314123347117[[#This Row],[Balanza Comercial Colombia 
( US$ millones)]]/Tabla1910111314123347117[[#This Row],[Balanza Comercial Absoluta Colombia 
(US$ millones)]])</f>
        <v>0.15958458411579957</v>
      </c>
      <c r="E66" s="2" t="s">
        <v>157</v>
      </c>
      <c r="G66" s="112"/>
      <c r="K66" s="49"/>
      <c r="M66" s="52" t="s">
        <v>136</v>
      </c>
      <c r="O66" s="49"/>
    </row>
    <row r="67" spans="1:15" x14ac:dyDescent="0.25">
      <c r="A67" s="31">
        <v>1995</v>
      </c>
      <c r="B67" s="73">
        <f>'Balanza c 06'!B6</f>
        <v>37.298679999999997</v>
      </c>
      <c r="C67" s="84">
        <f>'Apertura 06'!B188</f>
        <v>44.837567999999997</v>
      </c>
      <c r="D67" s="32">
        <f>1-(Tabla1910111314123347117[[#This Row],[Balanza Comercial Colombia 
( US$ millones)]]/Tabla1910111314123347117[[#This Row],[Balanza Comercial Absoluta Colombia 
(US$ millones)]])</f>
        <v>0.16813775448302637</v>
      </c>
      <c r="E67" s="2" t="s">
        <v>157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06'!B7</f>
        <v>55.851317000000002</v>
      </c>
      <c r="C68" s="84">
        <f>'Apertura 06'!B189</f>
        <v>65.159290999999996</v>
      </c>
      <c r="D68" s="32">
        <f>1-(Tabla1910111314123347117[[#This Row],[Balanza Comercial Colombia 
( US$ millones)]]/Tabla1910111314123347117[[#This Row],[Balanza Comercial Absoluta Colombia 
(US$ millones)]])</f>
        <v>0.14284952854996524</v>
      </c>
      <c r="E68" s="2" t="s">
        <v>157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>
        <f>'Balanza c 06'!B8</f>
        <v>47.290410000000001</v>
      </c>
      <c r="C69" s="84">
        <f>'Apertura 06'!B190</f>
        <v>56.681766000000003</v>
      </c>
      <c r="D69" s="32">
        <f>1-(Tabla1910111314123347117[[#This Row],[Balanza Comercial Colombia 
( US$ millones)]]/Tabla1910111314123347117[[#This Row],[Balanza Comercial Absoluta Colombia 
(US$ millones)]])</f>
        <v>0.16568566335777191</v>
      </c>
      <c r="E69" s="2" t="s">
        <v>157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>
        <f>'Balanza c 06'!B9</f>
        <v>61.172373</v>
      </c>
      <c r="C70" s="84">
        <f>'Apertura 06'!B191</f>
        <v>71.914170999999996</v>
      </c>
      <c r="D70" s="32">
        <f>1-(Tabla1910111314123347117[[#This Row],[Balanza Comercial Colombia 
( US$ millones)]]/Tabla1910111314123347117[[#This Row],[Balanza Comercial Absoluta Colombia 
(US$ millones)]])</f>
        <v>0.14936969794173105</v>
      </c>
      <c r="E70" s="2" t="s">
        <v>157</v>
      </c>
    </row>
    <row r="71" spans="1:15" x14ac:dyDescent="0.25">
      <c r="A71" s="31">
        <v>1999</v>
      </c>
      <c r="B71" s="73">
        <f>'Balanza c 06'!B10</f>
        <v>30.501275999999997</v>
      </c>
      <c r="C71" s="84">
        <f>'Apertura 06'!B192</f>
        <v>41.495827999999996</v>
      </c>
      <c r="D71" s="32">
        <f>1-(Tabla1910111314123347117[[#This Row],[Balanza Comercial Colombia 
( US$ millones)]]/Tabla1910111314123347117[[#This Row],[Balanza Comercial Absoluta Colombia 
(US$ millones)]])</f>
        <v>0.26495559987379935</v>
      </c>
      <c r="E71" s="2" t="s">
        <v>157</v>
      </c>
    </row>
    <row r="72" spans="1:15" x14ac:dyDescent="0.25">
      <c r="A72" s="31">
        <v>2000</v>
      </c>
      <c r="B72" s="73">
        <f>'Balanza c 06'!B11</f>
        <v>27.018269</v>
      </c>
      <c r="C72" s="84">
        <f>'Apertura 06'!B193</f>
        <v>35.332606999999996</v>
      </c>
      <c r="D72" s="32">
        <f>1-(Tabla1910111314123347117[[#This Row],[Balanza Comercial Colombia 
( US$ millones)]]/Tabla1910111314123347117[[#This Row],[Balanza Comercial Absoluta Colombia 
(US$ millones)]])</f>
        <v>0.2353162901339263</v>
      </c>
      <c r="E72" s="2" t="s">
        <v>157</v>
      </c>
    </row>
    <row r="73" spans="1:15" x14ac:dyDescent="0.25">
      <c r="A73" s="31">
        <v>2001</v>
      </c>
      <c r="B73" s="73">
        <f>'Balanza c 06'!B12</f>
        <v>29.995757000000001</v>
      </c>
      <c r="C73" s="84">
        <f>'Apertura 06'!B194</f>
        <v>38.785896999999999</v>
      </c>
      <c r="D73" s="32">
        <f>1-(Tabla1910111314123347117[[#This Row],[Balanza Comercial Colombia 
( US$ millones)]]/Tabla1910111314123347117[[#This Row],[Balanza Comercial Absoluta Colombia 
(US$ millones)]])</f>
        <v>0.2266323761959147</v>
      </c>
      <c r="E73" s="2" t="s">
        <v>157</v>
      </c>
    </row>
    <row r="74" spans="1:15" x14ac:dyDescent="0.25">
      <c r="A74" s="31">
        <v>2002</v>
      </c>
      <c r="B74" s="73">
        <f>'Balanza c 06'!B13</f>
        <v>31.774213000000003</v>
      </c>
      <c r="C74" s="84">
        <f>'Apertura 06'!B195</f>
        <v>38.935119</v>
      </c>
      <c r="D74" s="32">
        <f>1-(Tabla1910111314123347117[[#This Row],[Balanza Comercial Colombia 
( US$ millones)]]/Tabla1910111314123347117[[#This Row],[Balanza Comercial Absoluta Colombia 
(US$ millones)]])</f>
        <v>0.18391894474497428</v>
      </c>
      <c r="E74" s="2" t="s">
        <v>157</v>
      </c>
    </row>
    <row r="75" spans="1:15" x14ac:dyDescent="0.25">
      <c r="A75" s="31">
        <v>2003</v>
      </c>
      <c r="B75" s="73">
        <f>'Balanza c 06'!B14</f>
        <v>53.366145000000003</v>
      </c>
      <c r="C75" s="84">
        <f>'Apertura 06'!B196</f>
        <v>59.510576999999998</v>
      </c>
      <c r="D75" s="32">
        <f>1-(Tabla1910111314123347117[[#This Row],[Balanza Comercial Colombia 
( US$ millones)]]/Tabla1910111314123347117[[#This Row],[Balanza Comercial Absoluta Colombia 
(US$ millones)]])</f>
        <v>0.10324941060477355</v>
      </c>
      <c r="E75" s="2" t="s">
        <v>157</v>
      </c>
    </row>
    <row r="76" spans="1:15" x14ac:dyDescent="0.25">
      <c r="A76" s="31">
        <v>2004</v>
      </c>
      <c r="B76" s="73">
        <f>'Balanza c 06'!B15</f>
        <v>46.517001</v>
      </c>
      <c r="C76" s="84">
        <f>'Apertura 06'!B197</f>
        <v>54.612569000000001</v>
      </c>
      <c r="D76" s="32">
        <f>1-(Tabla1910111314123347117[[#This Row],[Balanza Comercial Colombia 
( US$ millones)]]/Tabla1910111314123347117[[#This Row],[Balanza Comercial Absoluta Colombia 
(US$ millones)]])</f>
        <v>0.14823635196505769</v>
      </c>
      <c r="E76" s="2" t="s">
        <v>157</v>
      </c>
    </row>
    <row r="77" spans="1:15" x14ac:dyDescent="0.25">
      <c r="A77" s="31">
        <v>2005</v>
      </c>
      <c r="B77" s="73">
        <f>'Balanza c 06'!B16</f>
        <v>53.184724000000003</v>
      </c>
      <c r="C77" s="84">
        <f>'Apertura 06'!B198</f>
        <v>62.947782000000004</v>
      </c>
      <c r="D77" s="32">
        <f>1-(Tabla1910111314123347117[[#This Row],[Balanza Comercial Colombia 
( US$ millones)]]/Tabla1910111314123347117[[#This Row],[Balanza Comercial Absoluta Colombia 
(US$ millones)]])</f>
        <v>0.15509772846325232</v>
      </c>
      <c r="E77" s="2" t="s">
        <v>157</v>
      </c>
    </row>
    <row r="78" spans="1:15" x14ac:dyDescent="0.25">
      <c r="A78" s="31">
        <v>2006</v>
      </c>
      <c r="B78" s="73">
        <f>'Balanza c 06'!B17</f>
        <v>67.058784000000003</v>
      </c>
      <c r="C78" s="84">
        <f>'Apertura 06'!B199</f>
        <v>81.527379999999994</v>
      </c>
      <c r="D78" s="32">
        <f>1-(Tabla1910111314123347117[[#This Row],[Balanza Comercial Colombia 
( US$ millones)]]/Tabla1910111314123347117[[#This Row],[Balanza Comercial Absoluta Colombia 
(US$ millones)]])</f>
        <v>0.177469164346996</v>
      </c>
      <c r="E78" s="2" t="s">
        <v>157</v>
      </c>
    </row>
    <row r="79" spans="1:15" x14ac:dyDescent="0.25">
      <c r="A79" s="31">
        <v>2007</v>
      </c>
      <c r="B79" s="73">
        <f>'Balanza c 06'!B18</f>
        <v>20.003582999999999</v>
      </c>
      <c r="C79" s="84">
        <f>'Apertura 06'!B200</f>
        <v>42.998269000000001</v>
      </c>
      <c r="D79" s="32">
        <f>1-(Tabla1910111314123347117[[#This Row],[Balanza Comercial Colombia 
( US$ millones)]]/Tabla1910111314123347117[[#This Row],[Balanza Comercial Absoluta Colombia 
(US$ millones)]])</f>
        <v>0.53478166760620072</v>
      </c>
      <c r="E79" s="2" t="str">
        <f>IF(D79&gt;0.1&lt;0.33,"POTENCIAL CMRCIO INT",IF(D79&gt;0.33,"INDICIOS DE CMRCIO INT",IF(D79&lt;0.1,"REL. INTERINDUSTRIALES")))</f>
        <v>INDICIOS DE CMRCIO INT</v>
      </c>
    </row>
    <row r="80" spans="1:15" x14ac:dyDescent="0.25">
      <c r="A80" s="31">
        <v>2008</v>
      </c>
      <c r="B80" s="73">
        <f>'Balanza c 06'!B19</f>
        <v>27.489628</v>
      </c>
      <c r="C80" s="84">
        <f>'Apertura 06'!B201</f>
        <v>49.922836000000004</v>
      </c>
      <c r="D80" s="32">
        <f>1-(Tabla1910111314123347117[[#This Row],[Balanza Comercial Colombia 
( US$ millones)]]/Tabla1910111314123347117[[#This Row],[Balanza Comercial Absoluta Colombia 
(US$ millones)]])</f>
        <v>0.44935764466585992</v>
      </c>
      <c r="E80" s="2" t="str">
        <f>IF(D80&gt;0.1&lt;0.33,"POTENCIAL CMRCIO INT",IF(D80&gt;0.33,"INDICIOS DE CMRCIO INT",IF(D80&lt;0.1,"REL. INTERINDUSTRIALES")))</f>
        <v>INDICIOS DE CMRCIO INT</v>
      </c>
    </row>
    <row r="81" spans="1:5" x14ac:dyDescent="0.25">
      <c r="A81" s="31">
        <v>2009</v>
      </c>
      <c r="B81" s="73">
        <f>'Balanza c 06'!B20</f>
        <v>53.277661999999999</v>
      </c>
      <c r="C81" s="84">
        <f>'Apertura 06'!B202</f>
        <v>67.243232000000006</v>
      </c>
      <c r="D81" s="32">
        <f>1-(Tabla1910111314123347117[[#This Row],[Balanza Comercial Colombia 
( US$ millones)]]/Tabla1910111314123347117[[#This Row],[Balanza Comercial Absoluta Colombia 
(US$ millones)]])</f>
        <v>0.20768736993486581</v>
      </c>
      <c r="E81" s="2" t="s">
        <v>157</v>
      </c>
    </row>
    <row r="82" spans="1:5" x14ac:dyDescent="0.25">
      <c r="A82" s="31">
        <v>2010</v>
      </c>
      <c r="B82" s="73">
        <f>'Balanza c 06'!B21</f>
        <v>80.021263000000005</v>
      </c>
      <c r="C82" s="84">
        <f>'Apertura 06'!B203</f>
        <v>94.104317000000009</v>
      </c>
      <c r="D82" s="32">
        <f>1-(Tabla1910111314123347117[[#This Row],[Balanza Comercial Colombia 
( US$ millones)]]/Tabla1910111314123347117[[#This Row],[Balanza Comercial Absoluta Colombia 
(US$ millones)]])</f>
        <v>0.14965364447626783</v>
      </c>
      <c r="E82" s="2" t="s">
        <v>157</v>
      </c>
    </row>
    <row r="83" spans="1:5" x14ac:dyDescent="0.25">
      <c r="A83" s="31">
        <v>2011</v>
      </c>
      <c r="B83" s="73">
        <f>'Balanza c 06'!B22</f>
        <v>56.687427999999997</v>
      </c>
      <c r="C83" s="84">
        <f>'Apertura 06'!B204</f>
        <v>75.518884</v>
      </c>
      <c r="D83" s="32">
        <f>1-(Tabla1910111314123347117[[#This Row],[Balanza Comercial Colombia 
( US$ millones)]]/Tabla1910111314123347117[[#This Row],[Balanza Comercial Absoluta Colombia 
(US$ millones)]])</f>
        <v>0.24936088833092396</v>
      </c>
      <c r="E83" s="2" t="s">
        <v>157</v>
      </c>
    </row>
    <row r="84" spans="1:5" x14ac:dyDescent="0.25">
      <c r="A84" s="31">
        <v>2012</v>
      </c>
      <c r="B84" s="73">
        <f>'Balanza c 06'!B23</f>
        <v>72.973606000000004</v>
      </c>
      <c r="C84" s="84">
        <f>'Apertura 06'!B205</f>
        <v>105.04465399999999</v>
      </c>
      <c r="D84" s="32">
        <f>1-(Tabla1910111314123347117[[#This Row],[Balanza Comercial Colombia 
( US$ millones)]]/Tabla1910111314123347117[[#This Row],[Balanza Comercial Absoluta Colombia 
(US$ millones)]])</f>
        <v>0.30530871185505537</v>
      </c>
      <c r="E84" s="2" t="s">
        <v>157</v>
      </c>
    </row>
    <row r="85" spans="1:5" x14ac:dyDescent="0.25">
      <c r="A85" s="31">
        <v>2013</v>
      </c>
      <c r="B85" s="73">
        <f>'Balanza c 06'!B24</f>
        <v>39.112250000000003</v>
      </c>
      <c r="C85" s="84">
        <f>'Apertura 06'!B206</f>
        <v>71.364041999999998</v>
      </c>
      <c r="D85" s="32">
        <f>1-(Tabla1910111314123347117[[#This Row],[Balanza Comercial Colombia 
( US$ millones)]]/Tabla1910111314123347117[[#This Row],[Balanza Comercial Absoluta Colombia 
(US$ millones)]])</f>
        <v>0.45193337002968514</v>
      </c>
      <c r="E85" s="2" t="str">
        <f>IF(D85&gt;0.1&lt;0.33,"POTENCIAL CMRCIO INT",IF(D85&gt;0.33,"INDICIOS DE CMRCIO INT",IF(D85&lt;0.1,"REL. INTERINDUSTRIALES")))</f>
        <v>INDICIOS DE CMRCIO INT</v>
      </c>
    </row>
    <row r="86" spans="1:5" x14ac:dyDescent="0.25">
      <c r="A86" s="31">
        <v>2014</v>
      </c>
      <c r="B86" s="73">
        <f>'Balanza c 06'!B25</f>
        <v>82.094502000000006</v>
      </c>
      <c r="C86" s="84">
        <f>'Apertura 06'!B207</f>
        <v>112.912856</v>
      </c>
      <c r="D86" s="32">
        <f>1-(Tabla1910111314123347117[[#This Row],[Balanza Comercial Colombia 
( US$ millones)]]/Tabla1910111314123347117[[#This Row],[Balanza Comercial Absoluta Colombia 
(US$ millones)]])</f>
        <v>0.27293928337088558</v>
      </c>
      <c r="E86" s="2" t="s">
        <v>157</v>
      </c>
    </row>
    <row r="87" spans="1:5" x14ac:dyDescent="0.25">
      <c r="A87" s="31">
        <v>2015</v>
      </c>
      <c r="B87" s="73">
        <f>'Balanza c 06'!B26</f>
        <v>68.128354999999999</v>
      </c>
      <c r="C87" s="84">
        <f>'Apertura 06'!B208</f>
        <v>94.852463</v>
      </c>
      <c r="D87" s="32">
        <f>1-(Tabla1910111314123347117[[#This Row],[Balanza Comercial Colombia 
( US$ millones)]]/Tabla1910111314123347117[[#This Row],[Balanza Comercial Absoluta Colombia 
(US$ millones)]])</f>
        <v>0.2817439542924679</v>
      </c>
      <c r="E87" s="2" t="s">
        <v>157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3" priority="3" operator="lessThan">
      <formula>0</formula>
    </cfRule>
  </conditionalFormatting>
  <conditionalFormatting sqref="E63:E87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" sqref="B2:B26"/>
    </sheetView>
  </sheetViews>
  <sheetFormatPr baseColWidth="10" defaultRowHeight="15" x14ac:dyDescent="0.25"/>
  <cols>
    <col min="2" max="2" width="13.42578125" customWidth="1"/>
  </cols>
  <sheetData>
    <row r="1" spans="1:2" ht="60" x14ac:dyDescent="0.25">
      <c r="A1" s="34" t="s">
        <v>3</v>
      </c>
      <c r="B1" s="34" t="s">
        <v>155</v>
      </c>
    </row>
    <row r="2" spans="1:2" x14ac:dyDescent="0.25">
      <c r="A2" s="54">
        <v>1991</v>
      </c>
      <c r="B2" s="73">
        <v>356.33337599999999</v>
      </c>
    </row>
    <row r="3" spans="1:2" x14ac:dyDescent="0.25">
      <c r="A3" s="55">
        <v>1992</v>
      </c>
      <c r="B3" s="73">
        <v>373.66137600000002</v>
      </c>
    </row>
    <row r="4" spans="1:2" x14ac:dyDescent="0.25">
      <c r="A4" s="54">
        <v>1993</v>
      </c>
      <c r="B4" s="73">
        <v>235.826752</v>
      </c>
    </row>
    <row r="5" spans="1:2" x14ac:dyDescent="0.25">
      <c r="A5" s="55">
        <v>1994</v>
      </c>
      <c r="B5" s="73">
        <v>362.19535999999999</v>
      </c>
    </row>
    <row r="6" spans="1:2" x14ac:dyDescent="0.25">
      <c r="A6" s="54">
        <v>1995</v>
      </c>
      <c r="B6" s="73">
        <v>414.26508799999999</v>
      </c>
    </row>
    <row r="7" spans="1:2" x14ac:dyDescent="0.25">
      <c r="A7" s="55">
        <v>1996</v>
      </c>
      <c r="B7" s="73">
        <v>412.33942400000001</v>
      </c>
    </row>
    <row r="8" spans="1:2" x14ac:dyDescent="0.25">
      <c r="A8" s="54">
        <v>1997</v>
      </c>
      <c r="B8" s="73">
        <v>703.16601600000001</v>
      </c>
    </row>
    <row r="9" spans="1:2" x14ac:dyDescent="0.25">
      <c r="A9" s="55">
        <v>1998</v>
      </c>
      <c r="B9" s="73">
        <v>572.62649599999997</v>
      </c>
    </row>
    <row r="10" spans="1:2" x14ac:dyDescent="0.25">
      <c r="A10" s="54">
        <v>1999</v>
      </c>
      <c r="B10" s="73">
        <v>469.02096</v>
      </c>
    </row>
    <row r="11" spans="1:2" x14ac:dyDescent="0.25">
      <c r="A11" s="55">
        <v>2000</v>
      </c>
      <c r="B11" s="73">
        <v>389.229713</v>
      </c>
    </row>
    <row r="12" spans="1:2" x14ac:dyDescent="0.25">
      <c r="A12" s="55">
        <v>2001</v>
      </c>
      <c r="B12" s="73">
        <v>279.14183400000002</v>
      </c>
    </row>
    <row r="13" spans="1:2" x14ac:dyDescent="0.25">
      <c r="A13" s="55">
        <v>2002</v>
      </c>
      <c r="B13" s="73">
        <v>296.84640100000001</v>
      </c>
    </row>
    <row r="14" spans="1:2" x14ac:dyDescent="0.25">
      <c r="A14" s="54">
        <v>2003</v>
      </c>
      <c r="B14" s="73">
        <v>324.63494900000001</v>
      </c>
    </row>
    <row r="15" spans="1:2" x14ac:dyDescent="0.25">
      <c r="A15" s="55">
        <v>2004</v>
      </c>
      <c r="B15" s="73">
        <v>380.21622500000001</v>
      </c>
    </row>
    <row r="16" spans="1:2" x14ac:dyDescent="0.25">
      <c r="A16" s="54">
        <v>2005</v>
      </c>
      <c r="B16" s="73">
        <v>586.29403300000001</v>
      </c>
    </row>
    <row r="17" spans="1:2" x14ac:dyDescent="0.25">
      <c r="A17" s="55">
        <v>2006</v>
      </c>
      <c r="B17" s="73">
        <v>579.43696</v>
      </c>
    </row>
    <row r="18" spans="1:2" x14ac:dyDescent="0.25">
      <c r="A18" s="54">
        <v>2007</v>
      </c>
      <c r="B18" s="73">
        <v>658.19860600000004</v>
      </c>
    </row>
    <row r="19" spans="1:2" x14ac:dyDescent="0.25">
      <c r="A19" s="55">
        <v>2008</v>
      </c>
      <c r="B19" s="73">
        <v>784.02828799999997</v>
      </c>
    </row>
    <row r="20" spans="1:2" x14ac:dyDescent="0.25">
      <c r="A20" s="54">
        <v>2009</v>
      </c>
      <c r="B20" s="73">
        <v>767.05405399999995</v>
      </c>
    </row>
    <row r="21" spans="1:2" x14ac:dyDescent="0.25">
      <c r="A21" s="55">
        <v>2010</v>
      </c>
      <c r="B21" s="73">
        <v>879.24043200000006</v>
      </c>
    </row>
    <row r="22" spans="1:2" x14ac:dyDescent="0.25">
      <c r="A22" s="54">
        <v>2011</v>
      </c>
      <c r="B22" s="73">
        <v>1253.501368</v>
      </c>
    </row>
    <row r="23" spans="1:2" x14ac:dyDescent="0.25">
      <c r="A23" s="55">
        <v>2012</v>
      </c>
      <c r="B23" s="73">
        <v>925.35675600000002</v>
      </c>
    </row>
    <row r="24" spans="1:2" x14ac:dyDescent="0.25">
      <c r="A24" s="54">
        <v>2013</v>
      </c>
      <c r="B24" s="73">
        <v>959.63503200000002</v>
      </c>
    </row>
    <row r="25" spans="1:2" x14ac:dyDescent="0.25">
      <c r="A25" s="55">
        <v>2014</v>
      </c>
      <c r="B25" s="73">
        <v>1138.514244</v>
      </c>
    </row>
    <row r="26" spans="1:2" x14ac:dyDescent="0.25">
      <c r="A26" s="54">
        <v>2015</v>
      </c>
      <c r="B26" s="73">
        <v>1178.3594880000001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" sqref="B2:B26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141</v>
      </c>
    </row>
    <row r="2" spans="1:2" x14ac:dyDescent="0.25">
      <c r="A2" s="54">
        <v>1991</v>
      </c>
      <c r="B2" s="73">
        <v>0.61987899999999996</v>
      </c>
    </row>
    <row r="3" spans="1:2" x14ac:dyDescent="0.25">
      <c r="A3" s="55">
        <v>1992</v>
      </c>
      <c r="B3" s="73">
        <v>1.5621160000000001</v>
      </c>
    </row>
    <row r="4" spans="1:2" x14ac:dyDescent="0.25">
      <c r="A4" s="54">
        <v>1993</v>
      </c>
      <c r="B4" s="73">
        <v>1.8800250000000001</v>
      </c>
    </row>
    <row r="5" spans="1:2" x14ac:dyDescent="0.25">
      <c r="A5" s="55">
        <v>1994</v>
      </c>
      <c r="B5" s="73">
        <v>1.911216</v>
      </c>
    </row>
    <row r="6" spans="1:2" x14ac:dyDescent="0.25">
      <c r="A6" s="54">
        <v>1995</v>
      </c>
      <c r="B6" s="73">
        <v>2.47004</v>
      </c>
    </row>
    <row r="7" spans="1:2" x14ac:dyDescent="0.25">
      <c r="A7" s="55">
        <v>1996</v>
      </c>
      <c r="B7" s="73">
        <v>2.2214939999999999</v>
      </c>
    </row>
    <row r="8" spans="1:2" x14ac:dyDescent="0.25">
      <c r="A8" s="54">
        <v>1997</v>
      </c>
      <c r="B8" s="73">
        <v>1.9101360000000001</v>
      </c>
    </row>
    <row r="9" spans="1:2" x14ac:dyDescent="0.25">
      <c r="A9" s="55">
        <v>1998</v>
      </c>
      <c r="B9" s="73">
        <v>2.292964</v>
      </c>
    </row>
    <row r="10" spans="1:2" x14ac:dyDescent="0.25">
      <c r="A10" s="54">
        <v>1999</v>
      </c>
      <c r="B10" s="73">
        <v>1.6053090000000001</v>
      </c>
    </row>
    <row r="11" spans="1:2" x14ac:dyDescent="0.25">
      <c r="A11" s="55">
        <v>2000</v>
      </c>
      <c r="B11" s="73">
        <v>1.5225580000000001</v>
      </c>
    </row>
    <row r="12" spans="1:2" x14ac:dyDescent="0.25">
      <c r="A12" s="54">
        <v>2001</v>
      </c>
      <c r="B12" s="73">
        <v>2.221114</v>
      </c>
    </row>
    <row r="13" spans="1:2" x14ac:dyDescent="0.25">
      <c r="A13" s="55">
        <v>2002</v>
      </c>
      <c r="B13" s="73">
        <v>2.882511</v>
      </c>
    </row>
    <row r="14" spans="1:2" x14ac:dyDescent="0.25">
      <c r="A14" s="54">
        <v>2003</v>
      </c>
      <c r="B14" s="73">
        <v>2.506888</v>
      </c>
    </row>
    <row r="15" spans="1:2" x14ac:dyDescent="0.25">
      <c r="A15" s="55">
        <v>2004</v>
      </c>
      <c r="B15" s="73">
        <v>3.5586880000000001</v>
      </c>
    </row>
    <row r="16" spans="1:2" x14ac:dyDescent="0.25">
      <c r="A16" s="54">
        <v>2005</v>
      </c>
      <c r="B16" s="73">
        <v>3.428855</v>
      </c>
    </row>
    <row r="17" spans="1:2" x14ac:dyDescent="0.25">
      <c r="A17" s="55">
        <v>2006</v>
      </c>
      <c r="B17" s="73">
        <v>5.3733060000000004</v>
      </c>
    </row>
    <row r="18" spans="1:2" x14ac:dyDescent="0.25">
      <c r="A18" s="54">
        <v>2007</v>
      </c>
      <c r="B18" s="73">
        <v>3.6913179999999999</v>
      </c>
    </row>
    <row r="19" spans="1:2" x14ac:dyDescent="0.25">
      <c r="A19" s="55">
        <v>2008</v>
      </c>
      <c r="B19" s="73">
        <v>5.5052070000000004</v>
      </c>
    </row>
    <row r="20" spans="1:2" x14ac:dyDescent="0.25">
      <c r="A20" s="54">
        <v>2009</v>
      </c>
      <c r="B20" s="73">
        <v>4.6945759999999996</v>
      </c>
    </row>
    <row r="21" spans="1:2" x14ac:dyDescent="0.25">
      <c r="A21" s="55">
        <v>2010</v>
      </c>
      <c r="B21" s="73">
        <v>5.8489870000000002</v>
      </c>
    </row>
    <row r="22" spans="1:2" x14ac:dyDescent="0.25">
      <c r="A22" s="54">
        <v>2011</v>
      </c>
      <c r="B22" s="73">
        <v>6.8179720000000001</v>
      </c>
    </row>
    <row r="23" spans="1:2" x14ac:dyDescent="0.25">
      <c r="A23" s="55">
        <v>2012</v>
      </c>
      <c r="B23" s="73">
        <v>13.463668999999999</v>
      </c>
    </row>
    <row r="24" spans="1:2" x14ac:dyDescent="0.25">
      <c r="A24" s="54">
        <v>2013</v>
      </c>
      <c r="B24" s="73">
        <v>29.753143000000001</v>
      </c>
    </row>
    <row r="25" spans="1:2" x14ac:dyDescent="0.25">
      <c r="A25" s="55">
        <v>2014</v>
      </c>
      <c r="B25" s="73">
        <v>30.614239999999999</v>
      </c>
    </row>
    <row r="26" spans="1:2" x14ac:dyDescent="0.25">
      <c r="A26" s="54">
        <v>2015</v>
      </c>
      <c r="B26" s="73">
        <v>25.557029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" sqref="B1"/>
    </sheetView>
  </sheetViews>
  <sheetFormatPr baseColWidth="10" defaultRowHeight="15" x14ac:dyDescent="0.25"/>
  <cols>
    <col min="2" max="2" width="12.85546875" customWidth="1"/>
  </cols>
  <sheetData>
    <row r="1" spans="1:7" ht="75" x14ac:dyDescent="0.25">
      <c r="A1" s="34" t="s">
        <v>3</v>
      </c>
      <c r="B1" s="34" t="s">
        <v>142</v>
      </c>
    </row>
    <row r="2" spans="1:7" x14ac:dyDescent="0.25">
      <c r="A2" s="54">
        <v>1991</v>
      </c>
      <c r="B2" s="105">
        <f>('Export 07'!B2)-('Import 07'!B2)</f>
        <v>355.71349699999996</v>
      </c>
      <c r="D2" s="128" t="s">
        <v>36</v>
      </c>
      <c r="E2" s="128"/>
      <c r="F2" s="115" t="s">
        <v>10</v>
      </c>
      <c r="G2" s="7" t="s">
        <v>37</v>
      </c>
    </row>
    <row r="3" spans="1:7" x14ac:dyDescent="0.25">
      <c r="A3" s="55">
        <v>1992</v>
      </c>
      <c r="B3" s="105">
        <f>('Export 07'!B3)-('Import 07'!B3)</f>
        <v>372.09926000000002</v>
      </c>
    </row>
    <row r="4" spans="1:7" x14ac:dyDescent="0.25">
      <c r="A4" s="54">
        <v>1993</v>
      </c>
      <c r="B4" s="105">
        <f>('Export 07'!B4)-('Import 07'!B4)</f>
        <v>233.94672700000001</v>
      </c>
    </row>
    <row r="5" spans="1:7" x14ac:dyDescent="0.25">
      <c r="A5" s="55">
        <v>1994</v>
      </c>
      <c r="B5" s="105">
        <f>('Export 07'!B5)-('Import 07'!B5)</f>
        <v>360.28414399999997</v>
      </c>
    </row>
    <row r="6" spans="1:7" x14ac:dyDescent="0.25">
      <c r="A6" s="54">
        <v>1995</v>
      </c>
      <c r="B6" s="105">
        <f>('Export 07'!B6)-('Import 07'!B6)</f>
        <v>411.79504800000001</v>
      </c>
    </row>
    <row r="7" spans="1:7" x14ac:dyDescent="0.25">
      <c r="A7" s="55">
        <v>1996</v>
      </c>
      <c r="B7" s="105">
        <f>('Export 07'!B7)-('Import 07'!B7)</f>
        <v>410.11793</v>
      </c>
    </row>
    <row r="8" spans="1:7" x14ac:dyDescent="0.25">
      <c r="A8" s="54">
        <v>1997</v>
      </c>
      <c r="B8" s="105">
        <f>('Export 07'!B8)-('Import 07'!B8)</f>
        <v>701.25588000000005</v>
      </c>
    </row>
    <row r="9" spans="1:7" x14ac:dyDescent="0.25">
      <c r="A9" s="55">
        <v>1998</v>
      </c>
      <c r="B9" s="105">
        <f>('Export 07'!B9)-('Import 07'!B9)</f>
        <v>570.33353199999999</v>
      </c>
    </row>
    <row r="10" spans="1:7" x14ac:dyDescent="0.25">
      <c r="A10" s="54">
        <v>1999</v>
      </c>
      <c r="B10" s="105">
        <f>('Export 07'!B10)-('Import 07'!B10)</f>
        <v>467.41565100000003</v>
      </c>
    </row>
    <row r="11" spans="1:7" x14ac:dyDescent="0.25">
      <c r="A11" s="55">
        <v>2000</v>
      </c>
      <c r="B11" s="105">
        <f>('Export 07'!B11)-('Import 07'!B11)</f>
        <v>387.707155</v>
      </c>
    </row>
    <row r="12" spans="1:7" x14ac:dyDescent="0.25">
      <c r="A12" s="54">
        <v>2001</v>
      </c>
      <c r="B12" s="105">
        <f>('Export 07'!B12)-('Import 07'!B12)</f>
        <v>276.92072000000002</v>
      </c>
    </row>
    <row r="13" spans="1:7" x14ac:dyDescent="0.25">
      <c r="A13" s="55">
        <v>2002</v>
      </c>
      <c r="B13" s="105">
        <f>('Export 07'!B13)-('Import 07'!B13)</f>
        <v>293.96388999999999</v>
      </c>
    </row>
    <row r="14" spans="1:7" x14ac:dyDescent="0.25">
      <c r="A14" s="54">
        <v>2003</v>
      </c>
      <c r="B14" s="105">
        <f>('Export 07'!B14)-('Import 07'!B14)</f>
        <v>322.128061</v>
      </c>
    </row>
    <row r="15" spans="1:7" x14ac:dyDescent="0.25">
      <c r="A15" s="55">
        <v>2004</v>
      </c>
      <c r="B15" s="105">
        <f>('Export 07'!B15)-('Import 07'!B15)</f>
        <v>376.65753699999999</v>
      </c>
    </row>
    <row r="16" spans="1:7" x14ac:dyDescent="0.25">
      <c r="A16" s="54">
        <v>2005</v>
      </c>
      <c r="B16" s="105">
        <f>('Export 07'!B16)-('Import 07'!B16)</f>
        <v>582.86517800000001</v>
      </c>
    </row>
    <row r="17" spans="1:2" x14ac:dyDescent="0.25">
      <c r="A17" s="55">
        <v>2006</v>
      </c>
      <c r="B17" s="105">
        <f>('Export 07'!B17)-('Import 07'!B17)</f>
        <v>574.06365400000004</v>
      </c>
    </row>
    <row r="18" spans="1:2" x14ac:dyDescent="0.25">
      <c r="A18" s="54">
        <v>2007</v>
      </c>
      <c r="B18" s="105">
        <f>('Export 07'!B18)-('Import 07'!B18)</f>
        <v>654.50728800000002</v>
      </c>
    </row>
    <row r="19" spans="1:2" x14ac:dyDescent="0.25">
      <c r="A19" s="55">
        <v>2008</v>
      </c>
      <c r="B19" s="105">
        <f>('Export 07'!B19)-('Import 07'!B19)</f>
        <v>778.52308099999993</v>
      </c>
    </row>
    <row r="20" spans="1:2" x14ac:dyDescent="0.25">
      <c r="A20" s="54">
        <v>2009</v>
      </c>
      <c r="B20" s="105">
        <f>('Export 07'!B20)-('Import 07'!B20)</f>
        <v>762.35947799999997</v>
      </c>
    </row>
    <row r="21" spans="1:2" x14ac:dyDescent="0.25">
      <c r="A21" s="55">
        <v>2010</v>
      </c>
      <c r="B21" s="105">
        <f>('Export 07'!B21)-('Import 07'!B21)</f>
        <v>873.39144500000009</v>
      </c>
    </row>
    <row r="22" spans="1:2" x14ac:dyDescent="0.25">
      <c r="A22" s="54">
        <v>2011</v>
      </c>
      <c r="B22" s="105">
        <f>('Export 07'!B22)-('Import 07'!B22)</f>
        <v>1246.6833959999999</v>
      </c>
    </row>
    <row r="23" spans="1:2" x14ac:dyDescent="0.25">
      <c r="A23" s="55">
        <v>2012</v>
      </c>
      <c r="B23" s="105">
        <f>('Export 07'!B23)-('Import 07'!B23)</f>
        <v>911.89308700000004</v>
      </c>
    </row>
    <row r="24" spans="1:2" x14ac:dyDescent="0.25">
      <c r="A24" s="54">
        <v>2013</v>
      </c>
      <c r="B24" s="105">
        <f>('Export 07'!B24)-('Import 07'!B24)</f>
        <v>929.881889</v>
      </c>
    </row>
    <row r="25" spans="1:2" x14ac:dyDescent="0.25">
      <c r="A25" s="55">
        <v>2014</v>
      </c>
      <c r="B25" s="105">
        <f>('Export 07'!B25)-('Import 07'!B25)</f>
        <v>1107.9000039999999</v>
      </c>
    </row>
    <row r="26" spans="1:2" x14ac:dyDescent="0.25">
      <c r="A26" s="54">
        <v>2015</v>
      </c>
      <c r="B26" s="105">
        <f>('Export 07'!B26)-('Import 07'!B26)</f>
        <v>1152.802459</v>
      </c>
    </row>
    <row r="27" spans="1:2" x14ac:dyDescent="0.25">
      <c r="A27" t="s">
        <v>117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221" zoomScale="110" zoomScaleNormal="110" workbookViewId="0">
      <selection activeCell="E184" sqref="E184:E208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4.28515625" bestFit="1" customWidth="1"/>
    <col min="6" max="6" width="13.28515625" customWidth="1"/>
    <col min="7" max="8" width="12.5703125" customWidth="1"/>
    <col min="9" max="9" width="3.7109375" customWidth="1"/>
    <col min="11" max="11" width="12.28515625" bestFit="1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115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13</v>
      </c>
      <c r="C6" s="13" t="s">
        <v>9</v>
      </c>
      <c r="D6" s="14" t="s">
        <v>4</v>
      </c>
    </row>
    <row r="7" spans="1:10" x14ac:dyDescent="0.25">
      <c r="A7" s="10">
        <v>1991</v>
      </c>
      <c r="B7" s="93">
        <f>'Export 07'!B2</f>
        <v>356.33337599999999</v>
      </c>
      <c r="C7" s="5">
        <v>41239.551378248201</v>
      </c>
      <c r="D7" s="63">
        <f t="shared" ref="D7:D31" si="0">B7/(C7*100)</f>
        <v>8.6405735293218535E-5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93">
        <f>'Export 07'!B3</f>
        <v>373.66137600000002</v>
      </c>
      <c r="C8" s="5">
        <v>49279.585355094838</v>
      </c>
      <c r="D8" s="63">
        <f t="shared" si="0"/>
        <v>7.582478085144207E-5</v>
      </c>
    </row>
    <row r="9" spans="1:10" x14ac:dyDescent="0.25">
      <c r="A9" s="10">
        <v>1993</v>
      </c>
      <c r="B9" s="93">
        <f>'Export 07'!B4</f>
        <v>235.826752</v>
      </c>
      <c r="C9" s="5">
        <v>55802.540100979531</v>
      </c>
      <c r="D9" s="63">
        <f t="shared" si="0"/>
        <v>4.2260934999240364E-5</v>
      </c>
    </row>
    <row r="10" spans="1:10" x14ac:dyDescent="0.25">
      <c r="A10" s="10">
        <v>1994</v>
      </c>
      <c r="B10" s="93">
        <f>'Export 07'!B5</f>
        <v>362.19535999999999</v>
      </c>
      <c r="C10" s="5">
        <v>81703.496603993364</v>
      </c>
      <c r="D10" s="63">
        <f t="shared" si="0"/>
        <v>4.4330460146095784E-5</v>
      </c>
    </row>
    <row r="11" spans="1:10" x14ac:dyDescent="0.25">
      <c r="A11" s="10">
        <v>1995</v>
      </c>
      <c r="B11" s="93">
        <f>'Export 07'!B6</f>
        <v>414.26508799999999</v>
      </c>
      <c r="C11" s="5">
        <v>92507.277798198498</v>
      </c>
      <c r="D11" s="63">
        <f t="shared" si="0"/>
        <v>4.4781891528978433E-5</v>
      </c>
    </row>
    <row r="12" spans="1:10" x14ac:dyDescent="0.25">
      <c r="A12" s="10">
        <v>1996</v>
      </c>
      <c r="B12" s="93">
        <f>'Export 07'!B7</f>
        <v>412.33942400000001</v>
      </c>
      <c r="C12" s="5">
        <v>97160.111573336981</v>
      </c>
      <c r="D12" s="63">
        <f t="shared" si="0"/>
        <v>4.2439167403463092E-5</v>
      </c>
    </row>
    <row r="13" spans="1:10" x14ac:dyDescent="0.25">
      <c r="A13" s="10">
        <v>1997</v>
      </c>
      <c r="B13" s="93">
        <f>'Export 07'!B8</f>
        <v>703.16601600000001</v>
      </c>
      <c r="C13" s="5">
        <v>106659.5079635281</v>
      </c>
      <c r="D13" s="63">
        <f t="shared" si="0"/>
        <v>6.5926238497222912E-5</v>
      </c>
    </row>
    <row r="14" spans="1:10" x14ac:dyDescent="0.25">
      <c r="A14" s="10">
        <v>1998</v>
      </c>
      <c r="B14" s="93">
        <f>'Export 07'!B9</f>
        <v>572.62649599999997</v>
      </c>
      <c r="C14" s="5">
        <v>98443.743190849113</v>
      </c>
      <c r="D14" s="63">
        <f t="shared" si="0"/>
        <v>5.8167891370188043E-5</v>
      </c>
    </row>
    <row r="15" spans="1:10" x14ac:dyDescent="0.25">
      <c r="A15" s="10">
        <v>1999</v>
      </c>
      <c r="B15" s="93">
        <f>'Export 07'!B10</f>
        <v>469.02096</v>
      </c>
      <c r="C15" s="5">
        <v>86186.156584381664</v>
      </c>
      <c r="D15" s="63">
        <f t="shared" si="0"/>
        <v>5.4419523806099768E-5</v>
      </c>
    </row>
    <row r="16" spans="1:10" x14ac:dyDescent="0.25">
      <c r="A16" s="10">
        <v>2000</v>
      </c>
      <c r="B16" s="93">
        <f>'Export 07'!B11</f>
        <v>389.229713</v>
      </c>
      <c r="C16" s="5">
        <v>99886.577575544405</v>
      </c>
      <c r="D16" s="63">
        <f t="shared" si="0"/>
        <v>3.8967168807603294E-5</v>
      </c>
    </row>
    <row r="17" spans="1:4" x14ac:dyDescent="0.25">
      <c r="A17" s="10">
        <v>2001</v>
      </c>
      <c r="B17" s="93">
        <f>'Export 07'!B12</f>
        <v>279.14183400000002</v>
      </c>
      <c r="C17" s="5">
        <v>98203.544965267793</v>
      </c>
      <c r="D17" s="63">
        <f t="shared" si="0"/>
        <v>2.8424822555919513E-5</v>
      </c>
    </row>
    <row r="18" spans="1:4" x14ac:dyDescent="0.25">
      <c r="A18" s="10">
        <v>2002</v>
      </c>
      <c r="B18" s="93">
        <f>'Export 07'!B13</f>
        <v>296.84640100000001</v>
      </c>
      <c r="C18" s="5">
        <v>97933.392356425262</v>
      </c>
      <c r="D18" s="63">
        <f t="shared" si="0"/>
        <v>3.0311050588305732E-5</v>
      </c>
    </row>
    <row r="19" spans="1:4" x14ac:dyDescent="0.25">
      <c r="A19" s="10">
        <v>2003</v>
      </c>
      <c r="B19" s="93">
        <f>'Export 07'!B14</f>
        <v>324.63494900000001</v>
      </c>
      <c r="C19" s="5">
        <v>94684.582573316715</v>
      </c>
      <c r="D19" s="63">
        <f t="shared" si="0"/>
        <v>3.4285935489933308E-5</v>
      </c>
    </row>
    <row r="20" spans="1:4" x14ac:dyDescent="0.25">
      <c r="A20" s="10">
        <v>2004</v>
      </c>
      <c r="B20" s="93">
        <f>'Export 07'!B15</f>
        <v>380.21622500000001</v>
      </c>
      <c r="C20" s="5">
        <v>117074.86551527939</v>
      </c>
      <c r="D20" s="63">
        <f t="shared" si="0"/>
        <v>3.247633241572062E-5</v>
      </c>
    </row>
    <row r="21" spans="1:4" x14ac:dyDescent="0.25">
      <c r="A21" s="10">
        <v>2005</v>
      </c>
      <c r="B21" s="93">
        <f>'Export 07'!B16</f>
        <v>586.29403300000001</v>
      </c>
      <c r="C21" s="5">
        <v>146566.26631057015</v>
      </c>
      <c r="D21" s="63">
        <f t="shared" si="0"/>
        <v>4.0001976427349117E-5</v>
      </c>
    </row>
    <row r="22" spans="1:4" x14ac:dyDescent="0.25">
      <c r="A22" s="10">
        <v>2006</v>
      </c>
      <c r="B22" s="93">
        <f>'Export 07'!B17</f>
        <v>579.43696</v>
      </c>
      <c r="C22" s="5">
        <v>162590.1460964143</v>
      </c>
      <c r="D22" s="63">
        <f t="shared" si="0"/>
        <v>3.5637889128680639E-5</v>
      </c>
    </row>
    <row r="23" spans="1:4" x14ac:dyDescent="0.25">
      <c r="A23" s="10">
        <v>2007</v>
      </c>
      <c r="B23" s="93">
        <f>'Export 07'!B18</f>
        <v>658.19860600000004</v>
      </c>
      <c r="C23" s="5">
        <v>207416.49464237894</v>
      </c>
      <c r="D23" s="63">
        <f t="shared" si="0"/>
        <v>3.1733185305963515E-5</v>
      </c>
    </row>
    <row r="24" spans="1:4" x14ac:dyDescent="0.25">
      <c r="A24" s="10">
        <v>2008</v>
      </c>
      <c r="B24" s="93">
        <f>'Export 07'!B19</f>
        <v>784.02828799999997</v>
      </c>
      <c r="C24" s="5">
        <v>243982.43787084011</v>
      </c>
      <c r="D24" s="63">
        <f t="shared" si="0"/>
        <v>3.2134619804686532E-5</v>
      </c>
    </row>
    <row r="25" spans="1:4" x14ac:dyDescent="0.25">
      <c r="A25" s="10">
        <v>2009</v>
      </c>
      <c r="B25" s="93">
        <f>'Export 07'!B20</f>
        <v>767.05405399999995</v>
      </c>
      <c r="C25" s="5">
        <v>233821.6705442575</v>
      </c>
      <c r="D25" s="63">
        <f t="shared" si="0"/>
        <v>3.2805088262972311E-5</v>
      </c>
    </row>
    <row r="26" spans="1:4" x14ac:dyDescent="0.25">
      <c r="A26" s="10">
        <v>2010</v>
      </c>
      <c r="B26" s="93">
        <f>'Export 07'!B21</f>
        <v>879.24043200000006</v>
      </c>
      <c r="C26" s="5">
        <v>287018.18463752925</v>
      </c>
      <c r="D26" s="63">
        <f t="shared" si="0"/>
        <v>3.0633614142266945E-5</v>
      </c>
    </row>
    <row r="27" spans="1:4" x14ac:dyDescent="0.25">
      <c r="A27" s="10">
        <v>2011</v>
      </c>
      <c r="B27" s="93">
        <f>'Export 07'!B22</f>
        <v>1253.501368</v>
      </c>
      <c r="C27" s="5">
        <v>335415.15670218616</v>
      </c>
      <c r="D27" s="63">
        <f t="shared" si="0"/>
        <v>3.7371637594569974E-5</v>
      </c>
    </row>
    <row r="28" spans="1:4" x14ac:dyDescent="0.25">
      <c r="A28" s="10">
        <v>2012</v>
      </c>
      <c r="B28" s="93">
        <f>'Export 07'!B23</f>
        <v>925.35675600000002</v>
      </c>
      <c r="C28" s="5">
        <v>369659.70037551981</v>
      </c>
      <c r="D28" s="63">
        <f t="shared" si="0"/>
        <v>2.5032665315152661E-5</v>
      </c>
    </row>
    <row r="29" spans="1:4" x14ac:dyDescent="0.25">
      <c r="A29" s="10">
        <v>2013</v>
      </c>
      <c r="B29" s="93">
        <f>'Export 07'!B24</f>
        <v>959.63503200000002</v>
      </c>
      <c r="C29" s="5">
        <v>380191.88186037214</v>
      </c>
      <c r="D29" s="63">
        <f t="shared" si="0"/>
        <v>2.5240808070500361E-5</v>
      </c>
    </row>
    <row r="30" spans="1:4" x14ac:dyDescent="0.25">
      <c r="A30" s="10">
        <v>2014</v>
      </c>
      <c r="B30" s="93">
        <f>'Export 07'!B25</f>
        <v>1138.514244</v>
      </c>
      <c r="C30" s="5">
        <v>378416.02053371473</v>
      </c>
      <c r="D30" s="63">
        <f t="shared" si="0"/>
        <v>3.0086311948269238E-5</v>
      </c>
    </row>
    <row r="31" spans="1:4" x14ac:dyDescent="0.25">
      <c r="A31" s="11">
        <v>2015</v>
      </c>
      <c r="B31" s="93">
        <f>'Export 07'!B26</f>
        <v>1178.3594880000001</v>
      </c>
      <c r="C31" s="6">
        <v>292080.15563330991</v>
      </c>
      <c r="D31" s="63">
        <f t="shared" si="0"/>
        <v>4.0343702414325045E-5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41</v>
      </c>
      <c r="C35" s="13" t="s">
        <v>9</v>
      </c>
      <c r="D35" s="14" t="s">
        <v>40</v>
      </c>
    </row>
    <row r="36" spans="1:10" x14ac:dyDescent="0.25">
      <c r="A36" s="10">
        <v>1991</v>
      </c>
      <c r="B36" s="93">
        <f>'Import 07'!B2</f>
        <v>0.61987899999999996</v>
      </c>
      <c r="C36" s="5">
        <v>41239.551378248172</v>
      </c>
      <c r="D36" s="75">
        <f t="shared" ref="D36:D60" si="1">(B36/C36)/100</f>
        <v>1.503117709294373E-7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93">
        <f>'Import 07'!B3</f>
        <v>1.5621160000000001</v>
      </c>
      <c r="C37" s="5">
        <v>49279.585355094838</v>
      </c>
      <c r="D37" s="75">
        <f t="shared" si="1"/>
        <v>3.1699049185252497E-7</v>
      </c>
    </row>
    <row r="38" spans="1:10" x14ac:dyDescent="0.25">
      <c r="A38" s="10">
        <v>1993</v>
      </c>
      <c r="B38" s="93">
        <f>'Import 07'!B4</f>
        <v>1.8800250000000001</v>
      </c>
      <c r="C38" s="5">
        <v>55802.540100979531</v>
      </c>
      <c r="D38" s="75">
        <f t="shared" si="1"/>
        <v>3.3690670650438703E-7</v>
      </c>
    </row>
    <row r="39" spans="1:10" x14ac:dyDescent="0.25">
      <c r="A39" s="10">
        <v>1994</v>
      </c>
      <c r="B39" s="93">
        <f>'Import 07'!B5</f>
        <v>1.911216</v>
      </c>
      <c r="C39" s="5">
        <v>81703.496603993364</v>
      </c>
      <c r="D39" s="75">
        <f t="shared" si="1"/>
        <v>2.3392095558203892E-7</v>
      </c>
    </row>
    <row r="40" spans="1:10" x14ac:dyDescent="0.25">
      <c r="A40" s="10">
        <v>1995</v>
      </c>
      <c r="B40" s="93">
        <f>'Import 07'!B6</f>
        <v>2.47004</v>
      </c>
      <c r="C40" s="5">
        <v>92507.277798198498</v>
      </c>
      <c r="D40" s="75">
        <f t="shared" si="1"/>
        <v>2.6701034327140278E-7</v>
      </c>
    </row>
    <row r="41" spans="1:10" x14ac:dyDescent="0.25">
      <c r="A41" s="10">
        <v>1996</v>
      </c>
      <c r="B41" s="93">
        <f>'Import 07'!B7</f>
        <v>2.2214939999999999</v>
      </c>
      <c r="C41" s="5">
        <v>97160.111573336981</v>
      </c>
      <c r="D41" s="75">
        <f t="shared" si="1"/>
        <v>2.2864259458195499E-7</v>
      </c>
    </row>
    <row r="42" spans="1:10" x14ac:dyDescent="0.25">
      <c r="A42" s="10">
        <v>1997</v>
      </c>
      <c r="B42" s="93">
        <f>'Import 07'!B8</f>
        <v>1.9101360000000001</v>
      </c>
      <c r="C42" s="5">
        <v>106659.5079635281</v>
      </c>
      <c r="D42" s="75">
        <f t="shared" si="1"/>
        <v>1.7908726905557875E-7</v>
      </c>
    </row>
    <row r="43" spans="1:10" x14ac:dyDescent="0.25">
      <c r="A43" s="10">
        <v>1998</v>
      </c>
      <c r="B43" s="93">
        <f>'Import 07'!B9</f>
        <v>2.292964</v>
      </c>
      <c r="C43" s="5">
        <v>98443.743190849113</v>
      </c>
      <c r="D43" s="75">
        <f t="shared" si="1"/>
        <v>2.3292125285755525E-7</v>
      </c>
    </row>
    <row r="44" spans="1:10" x14ac:dyDescent="0.25">
      <c r="A44" s="10">
        <v>1999</v>
      </c>
      <c r="B44" s="93">
        <f>'Import 07'!B10</f>
        <v>1.6053090000000001</v>
      </c>
      <c r="C44" s="5">
        <v>86186.156584381664</v>
      </c>
      <c r="D44" s="75">
        <f t="shared" si="1"/>
        <v>1.8626065526292516E-7</v>
      </c>
    </row>
    <row r="45" spans="1:10" x14ac:dyDescent="0.25">
      <c r="A45" s="10">
        <v>2000</v>
      </c>
      <c r="B45" s="93">
        <f>'Import 07'!B11</f>
        <v>1.5225580000000001</v>
      </c>
      <c r="C45" s="5">
        <v>99886.577575544405</v>
      </c>
      <c r="D45" s="75">
        <f t="shared" si="1"/>
        <v>1.5242868831385144E-7</v>
      </c>
    </row>
    <row r="46" spans="1:10" x14ac:dyDescent="0.25">
      <c r="A46" s="10">
        <v>2001</v>
      </c>
      <c r="B46" s="93">
        <f>'Import 07'!B12</f>
        <v>2.221114</v>
      </c>
      <c r="C46" s="5">
        <v>98203.544965267793</v>
      </c>
      <c r="D46" s="75">
        <f t="shared" si="1"/>
        <v>2.2617452361679551E-7</v>
      </c>
    </row>
    <row r="47" spans="1:10" x14ac:dyDescent="0.25">
      <c r="A47" s="10">
        <v>2002</v>
      </c>
      <c r="B47" s="93">
        <f>'Import 07'!B13</f>
        <v>2.882511</v>
      </c>
      <c r="C47" s="5">
        <v>97933.392356425262</v>
      </c>
      <c r="D47" s="75">
        <f t="shared" si="1"/>
        <v>2.9433382533193572E-7</v>
      </c>
    </row>
    <row r="48" spans="1:10" x14ac:dyDescent="0.25">
      <c r="A48" s="10">
        <v>2003</v>
      </c>
      <c r="B48" s="93">
        <f>'Import 07'!B14</f>
        <v>2.506888</v>
      </c>
      <c r="C48" s="5">
        <v>94684.582573316715</v>
      </c>
      <c r="D48" s="75">
        <f t="shared" si="1"/>
        <v>2.647620057952784E-7</v>
      </c>
    </row>
    <row r="49" spans="1:10" x14ac:dyDescent="0.25">
      <c r="A49" s="10">
        <v>2004</v>
      </c>
      <c r="B49" s="93">
        <f>'Import 07'!B15</f>
        <v>3.5586880000000001</v>
      </c>
      <c r="C49" s="5">
        <v>117074.86551527939</v>
      </c>
      <c r="D49" s="75">
        <f t="shared" si="1"/>
        <v>3.039668663583096E-7</v>
      </c>
    </row>
    <row r="50" spans="1:10" x14ac:dyDescent="0.25">
      <c r="A50" s="10">
        <v>2005</v>
      </c>
      <c r="B50" s="93">
        <f>'Import 07'!B16</f>
        <v>3.428855</v>
      </c>
      <c r="C50" s="5">
        <v>146566.26631057015</v>
      </c>
      <c r="D50" s="75">
        <f t="shared" si="1"/>
        <v>2.3394571522579039E-7</v>
      </c>
    </row>
    <row r="51" spans="1:10" x14ac:dyDescent="0.25">
      <c r="A51" s="10">
        <v>2006</v>
      </c>
      <c r="B51" s="93">
        <f>'Import 07'!B17</f>
        <v>5.3733060000000004</v>
      </c>
      <c r="C51" s="5">
        <v>162590.1460964143</v>
      </c>
      <c r="D51" s="75">
        <f t="shared" si="1"/>
        <v>3.3048165150264914E-7</v>
      </c>
    </row>
    <row r="52" spans="1:10" x14ac:dyDescent="0.25">
      <c r="A52" s="10">
        <v>2007</v>
      </c>
      <c r="B52" s="93">
        <f>'Import 07'!B18</f>
        <v>3.6913179999999999</v>
      </c>
      <c r="C52" s="5">
        <v>207416.49464237894</v>
      </c>
      <c r="D52" s="75">
        <f t="shared" si="1"/>
        <v>1.7796646338877029E-7</v>
      </c>
    </row>
    <row r="53" spans="1:10" x14ac:dyDescent="0.25">
      <c r="A53" s="10">
        <v>2008</v>
      </c>
      <c r="B53" s="93">
        <f>'Import 07'!B19</f>
        <v>5.5052070000000004</v>
      </c>
      <c r="C53" s="5">
        <v>243982.43787084011</v>
      </c>
      <c r="D53" s="75">
        <f t="shared" si="1"/>
        <v>2.2563947831828606E-7</v>
      </c>
    </row>
    <row r="54" spans="1:10" x14ac:dyDescent="0.25">
      <c r="A54" s="10">
        <v>2009</v>
      </c>
      <c r="B54" s="93">
        <f>'Import 07'!B20</f>
        <v>4.6945759999999996</v>
      </c>
      <c r="C54" s="5">
        <v>233821.6705442575</v>
      </c>
      <c r="D54" s="75">
        <f t="shared" si="1"/>
        <v>2.0077591564000976E-7</v>
      </c>
    </row>
    <row r="55" spans="1:10" x14ac:dyDescent="0.25">
      <c r="A55" s="10">
        <v>2010</v>
      </c>
      <c r="B55" s="93">
        <f>'Import 07'!B21</f>
        <v>5.8489870000000002</v>
      </c>
      <c r="C55" s="5">
        <v>287018.18463752925</v>
      </c>
      <c r="D55" s="75">
        <f t="shared" si="1"/>
        <v>2.0378454443179596E-7</v>
      </c>
    </row>
    <row r="56" spans="1:10" x14ac:dyDescent="0.25">
      <c r="A56" s="10">
        <v>2011</v>
      </c>
      <c r="B56" s="93">
        <f>'Import 07'!B22</f>
        <v>6.8179720000000001</v>
      </c>
      <c r="C56" s="5">
        <v>335415.15670218616</v>
      </c>
      <c r="D56" s="75">
        <f t="shared" si="1"/>
        <v>2.0326964550542514E-7</v>
      </c>
    </row>
    <row r="57" spans="1:10" x14ac:dyDescent="0.25">
      <c r="A57" s="10">
        <v>2012</v>
      </c>
      <c r="B57" s="93">
        <f>'Import 07'!B23</f>
        <v>13.463668999999999</v>
      </c>
      <c r="C57" s="5">
        <v>369659.70037551981</v>
      </c>
      <c r="D57" s="75">
        <f t="shared" si="1"/>
        <v>3.6421792763243854E-7</v>
      </c>
    </row>
    <row r="58" spans="1:10" x14ac:dyDescent="0.25">
      <c r="A58" s="10">
        <v>2013</v>
      </c>
      <c r="B58" s="93">
        <f>'Import 07'!B24</f>
        <v>29.753143000000001</v>
      </c>
      <c r="C58" s="5">
        <v>380191.88186037214</v>
      </c>
      <c r="D58" s="75">
        <f t="shared" si="1"/>
        <v>7.8258228067392114E-7</v>
      </c>
    </row>
    <row r="59" spans="1:10" x14ac:dyDescent="0.25">
      <c r="A59" s="10">
        <v>2014</v>
      </c>
      <c r="B59" s="93">
        <f>'Import 07'!B25</f>
        <v>30.614239999999999</v>
      </c>
      <c r="C59" s="5">
        <v>378416.02053371473</v>
      </c>
      <c r="D59" s="75">
        <f t="shared" si="1"/>
        <v>8.0901014594524659E-7</v>
      </c>
    </row>
    <row r="60" spans="1:10" x14ac:dyDescent="0.25">
      <c r="A60" s="11">
        <v>2015</v>
      </c>
      <c r="B60" s="93">
        <f>'Import 07'!B26</f>
        <v>25.557029</v>
      </c>
      <c r="C60" s="6">
        <v>292080.15563330991</v>
      </c>
      <c r="D60" s="75">
        <f t="shared" si="1"/>
        <v>8.7500052663918047E-7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115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8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93">
        <f>'Import 07'!B2</f>
        <v>0.61987899999999996</v>
      </c>
      <c r="C66" s="5">
        <v>6174.0429999999997</v>
      </c>
      <c r="D66" s="75">
        <f t="shared" ref="D66:D90" si="2">(B66/C66)/10000</f>
        <v>1.0040082325309363E-8</v>
      </c>
      <c r="E66" s="1"/>
    </row>
    <row r="67" spans="1:5" x14ac:dyDescent="0.25">
      <c r="A67" s="10">
        <v>1992</v>
      </c>
      <c r="B67" s="93">
        <f>'Import 07'!B3</f>
        <v>1.5621160000000001</v>
      </c>
      <c r="C67" s="5">
        <v>6539.299</v>
      </c>
      <c r="D67" s="75">
        <f t="shared" si="2"/>
        <v>2.3888126234937415E-8</v>
      </c>
      <c r="E67" s="1"/>
    </row>
    <row r="68" spans="1:5" x14ac:dyDescent="0.25">
      <c r="A68" s="10">
        <v>1993</v>
      </c>
      <c r="B68" s="93">
        <f>'Import 07'!B4</f>
        <v>1.8800250000000001</v>
      </c>
      <c r="C68" s="5">
        <v>6878.7179999999998</v>
      </c>
      <c r="D68" s="75">
        <f t="shared" si="2"/>
        <v>2.7331037556707518E-8</v>
      </c>
      <c r="E68" s="1"/>
    </row>
    <row r="69" spans="1:5" x14ac:dyDescent="0.25">
      <c r="A69" s="10">
        <v>1994</v>
      </c>
      <c r="B69" s="93">
        <f>'Import 07'!B5</f>
        <v>1.911216</v>
      </c>
      <c r="C69" s="5">
        <v>7308.7550000000001</v>
      </c>
      <c r="D69" s="75">
        <f t="shared" si="2"/>
        <v>2.6149679391360088E-8</v>
      </c>
      <c r="E69" s="1"/>
    </row>
    <row r="70" spans="1:5" x14ac:dyDescent="0.25">
      <c r="A70" s="10">
        <v>1995</v>
      </c>
      <c r="B70" s="93">
        <f>'Import 07'!B6</f>
        <v>2.47004</v>
      </c>
      <c r="C70" s="5">
        <v>7664.06</v>
      </c>
      <c r="D70" s="75">
        <f t="shared" si="2"/>
        <v>3.2228870859570512E-8</v>
      </c>
      <c r="E70" s="1"/>
    </row>
    <row r="71" spans="1:5" x14ac:dyDescent="0.25">
      <c r="A71" s="10">
        <v>1996</v>
      </c>
      <c r="B71" s="93">
        <f>'Import 07'!B7</f>
        <v>2.2214939999999999</v>
      </c>
      <c r="C71" s="5">
        <v>8100.201</v>
      </c>
      <c r="D71" s="75">
        <f t="shared" si="2"/>
        <v>2.7425171301304747E-8</v>
      </c>
      <c r="E71" s="1"/>
    </row>
    <row r="72" spans="1:5" x14ac:dyDescent="0.25">
      <c r="A72" s="10">
        <v>1997</v>
      </c>
      <c r="B72" s="93">
        <f>'Import 07'!B8</f>
        <v>1.9101360000000001</v>
      </c>
      <c r="C72" s="5">
        <v>8608.5149999999994</v>
      </c>
      <c r="D72" s="75">
        <f t="shared" si="2"/>
        <v>2.2188914115849252E-8</v>
      </c>
      <c r="E72" s="1"/>
    </row>
    <row r="73" spans="1:5" x14ac:dyDescent="0.25">
      <c r="A73" s="10">
        <v>1998</v>
      </c>
      <c r="B73" s="93">
        <f>'Import 07'!B9</f>
        <v>2.292964</v>
      </c>
      <c r="C73" s="5">
        <v>9089.1679999999997</v>
      </c>
      <c r="D73" s="75">
        <f t="shared" si="2"/>
        <v>2.5227435558458157E-8</v>
      </c>
      <c r="E73" s="1"/>
    </row>
    <row r="74" spans="1:5" x14ac:dyDescent="0.25">
      <c r="A74" s="10">
        <v>1999</v>
      </c>
      <c r="B74" s="93">
        <f>'Import 07'!B10</f>
        <v>1.6053090000000001</v>
      </c>
      <c r="C74" s="5">
        <v>9660.6239999999998</v>
      </c>
      <c r="D74" s="75">
        <f t="shared" si="2"/>
        <v>1.6617032191709357E-8</v>
      </c>
      <c r="E74" s="1"/>
    </row>
    <row r="75" spans="1:5" x14ac:dyDescent="0.25">
      <c r="A75" s="10">
        <v>2000</v>
      </c>
      <c r="B75" s="93">
        <f>'Import 07'!B11</f>
        <v>1.5225580000000001</v>
      </c>
      <c r="C75" s="5">
        <v>10284.779</v>
      </c>
      <c r="D75" s="75">
        <f t="shared" si="2"/>
        <v>1.4803993357562668E-8</v>
      </c>
      <c r="E75" s="1"/>
    </row>
    <row r="76" spans="1:5" x14ac:dyDescent="0.25">
      <c r="A76" s="10">
        <v>2001</v>
      </c>
      <c r="B76" s="93">
        <f>'Import 07'!B12</f>
        <v>2.221114</v>
      </c>
      <c r="C76" s="5">
        <v>10621.824000000001</v>
      </c>
      <c r="D76" s="75">
        <f t="shared" si="2"/>
        <v>2.0910852975910728E-8</v>
      </c>
      <c r="E76" s="1"/>
    </row>
    <row r="77" spans="1:5" x14ac:dyDescent="0.25">
      <c r="A77" s="10">
        <v>2002</v>
      </c>
      <c r="B77" s="93">
        <f>'Import 07'!B13</f>
        <v>2.882511</v>
      </c>
      <c r="C77" s="5">
        <v>10977.513999999999</v>
      </c>
      <c r="D77" s="75">
        <f t="shared" si="2"/>
        <v>2.625832223944329E-8</v>
      </c>
      <c r="E77" s="1"/>
    </row>
    <row r="78" spans="1:5" x14ac:dyDescent="0.25">
      <c r="A78" s="10">
        <v>2003</v>
      </c>
      <c r="B78" s="93">
        <f>'Import 07'!B14</f>
        <v>2.506888</v>
      </c>
      <c r="C78" s="5">
        <v>11510.67</v>
      </c>
      <c r="D78" s="75">
        <f t="shared" si="2"/>
        <v>2.1778819130424205E-8</v>
      </c>
      <c r="E78" s="1"/>
    </row>
    <row r="79" spans="1:5" x14ac:dyDescent="0.25">
      <c r="A79" s="10">
        <v>2004</v>
      </c>
      <c r="B79" s="93">
        <f>'Import 07'!B15</f>
        <v>3.5586880000000001</v>
      </c>
      <c r="C79" s="5">
        <v>12274.928</v>
      </c>
      <c r="D79" s="75">
        <f t="shared" si="2"/>
        <v>2.8991518320922124E-8</v>
      </c>
      <c r="E79" s="1"/>
    </row>
    <row r="80" spans="1:5" x14ac:dyDescent="0.25">
      <c r="A80" s="10">
        <v>2005</v>
      </c>
      <c r="B80" s="93">
        <f>'Import 07'!B16</f>
        <v>3.428855</v>
      </c>
      <c r="C80" s="5">
        <v>13093.726000000001</v>
      </c>
      <c r="D80" s="75">
        <f t="shared" si="2"/>
        <v>2.6187007426304777E-8</v>
      </c>
      <c r="E80" s="1"/>
    </row>
    <row r="81" spans="1:10" x14ac:dyDescent="0.25">
      <c r="A81" s="10">
        <v>2006</v>
      </c>
      <c r="B81" s="93">
        <f>'Import 07'!B17</f>
        <v>5.3733060000000004</v>
      </c>
      <c r="C81" s="5">
        <v>13855.888000000001</v>
      </c>
      <c r="D81" s="75">
        <f t="shared" si="2"/>
        <v>3.8779946835597979E-8</v>
      </c>
      <c r="E81" s="1"/>
    </row>
    <row r="82" spans="1:10" x14ac:dyDescent="0.25">
      <c r="A82" s="10">
        <v>2007</v>
      </c>
      <c r="B82" s="93">
        <f>'Import 07'!B18</f>
        <v>3.6913179999999999</v>
      </c>
      <c r="C82" s="5">
        <v>14477.635</v>
      </c>
      <c r="D82" s="75">
        <f t="shared" si="2"/>
        <v>2.5496691966609185E-8</v>
      </c>
      <c r="E82" s="1"/>
    </row>
    <row r="83" spans="1:10" x14ac:dyDescent="0.25">
      <c r="A83" s="10">
        <v>2008</v>
      </c>
      <c r="B83" s="93">
        <f>'Import 07'!B19</f>
        <v>5.5052070000000004</v>
      </c>
      <c r="C83" s="5">
        <v>14718.582</v>
      </c>
      <c r="D83" s="75">
        <f t="shared" si="2"/>
        <v>3.740310717431883E-8</v>
      </c>
      <c r="E83" s="1"/>
    </row>
    <row r="84" spans="1:10" x14ac:dyDescent="0.25">
      <c r="A84" s="10">
        <v>2009</v>
      </c>
      <c r="B84" s="93">
        <f>'Import 07'!B20</f>
        <v>4.6945759999999996</v>
      </c>
      <c r="C84" s="5">
        <v>14418.739</v>
      </c>
      <c r="D84" s="75">
        <f t="shared" si="2"/>
        <v>3.2558852754044578E-8</v>
      </c>
      <c r="E84" s="1"/>
    </row>
    <row r="85" spans="1:10" x14ac:dyDescent="0.25">
      <c r="A85" s="10">
        <v>2010</v>
      </c>
      <c r="B85" s="93">
        <f>'Import 07'!B21</f>
        <v>5.8489870000000002</v>
      </c>
      <c r="C85" s="5">
        <v>14964.371999999999</v>
      </c>
      <c r="D85" s="75">
        <f t="shared" si="2"/>
        <v>3.9086083933224863E-8</v>
      </c>
      <c r="E85" s="1"/>
    </row>
    <row r="86" spans="1:10" x14ac:dyDescent="0.25">
      <c r="A86" s="10">
        <v>2011</v>
      </c>
      <c r="B86" s="93">
        <f>'Import 07'!B22</f>
        <v>6.8179720000000001</v>
      </c>
      <c r="C86" s="5">
        <v>15517.925999999999</v>
      </c>
      <c r="D86" s="75">
        <f t="shared" si="2"/>
        <v>4.3936103316899438E-8</v>
      </c>
      <c r="E86" s="1"/>
    </row>
    <row r="87" spans="1:10" x14ac:dyDescent="0.25">
      <c r="A87" s="10">
        <v>2012</v>
      </c>
      <c r="B87" s="93">
        <f>'Import 07'!B23</f>
        <v>13.463668999999999</v>
      </c>
      <c r="C87" s="5">
        <v>16155.254999999999</v>
      </c>
      <c r="D87" s="75">
        <f t="shared" si="2"/>
        <v>8.3339254007442161E-8</v>
      </c>
      <c r="E87" s="1"/>
    </row>
    <row r="88" spans="1:10" x14ac:dyDescent="0.25">
      <c r="A88" s="10">
        <v>2013</v>
      </c>
      <c r="B88" s="93">
        <f>'Import 07'!B24</f>
        <v>29.753143000000001</v>
      </c>
      <c r="C88" s="5">
        <v>16663.16</v>
      </c>
      <c r="D88" s="75">
        <f t="shared" si="2"/>
        <v>1.7855642627208767E-7</v>
      </c>
      <c r="E88" s="1"/>
    </row>
    <row r="89" spans="1:10" x14ac:dyDescent="0.25">
      <c r="A89" s="10">
        <v>2014</v>
      </c>
      <c r="B89" s="93">
        <f>'Import 07'!B25</f>
        <v>30.614239999999999</v>
      </c>
      <c r="C89" s="5">
        <v>17348.071499999998</v>
      </c>
      <c r="D89" s="75">
        <f t="shared" si="2"/>
        <v>1.7647056619521082E-7</v>
      </c>
      <c r="E89" s="1"/>
    </row>
    <row r="90" spans="1:10" x14ac:dyDescent="0.25">
      <c r="A90" s="11">
        <v>2015</v>
      </c>
      <c r="B90" s="93">
        <f>'Import 07'!B26</f>
        <v>25.557029</v>
      </c>
      <c r="C90" s="5">
        <v>17946.995999999999</v>
      </c>
      <c r="D90" s="75">
        <f t="shared" si="2"/>
        <v>1.4240282329142995E-7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60" x14ac:dyDescent="0.25">
      <c r="A95" s="12" t="s">
        <v>3</v>
      </c>
      <c r="B95" s="13" t="s">
        <v>156</v>
      </c>
      <c r="C95" s="13" t="s">
        <v>7</v>
      </c>
      <c r="D95" s="14" t="s">
        <v>43</v>
      </c>
    </row>
    <row r="96" spans="1:10" x14ac:dyDescent="0.25">
      <c r="A96" s="10">
        <v>1991</v>
      </c>
      <c r="B96" s="2">
        <f t="shared" ref="B96:B120" si="3">B7</f>
        <v>356.33337599999999</v>
      </c>
      <c r="C96" s="5">
        <v>6174.0429999999997</v>
      </c>
      <c r="D96" s="19">
        <f t="shared" ref="D96:D120" si="4">(B96/C96)/10000</f>
        <v>5.7714754497174707E-6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>
        <f t="shared" si="3"/>
        <v>373.66137600000002</v>
      </c>
      <c r="C97" s="5">
        <v>6539.299</v>
      </c>
      <c r="D97" s="19">
        <f t="shared" si="4"/>
        <v>5.7140891707199809E-6</v>
      </c>
    </row>
    <row r="98" spans="1:4" x14ac:dyDescent="0.25">
      <c r="A98" s="10">
        <v>1993</v>
      </c>
      <c r="B98" s="2">
        <f t="shared" si="3"/>
        <v>235.826752</v>
      </c>
      <c r="C98" s="5">
        <v>6878.7179999999998</v>
      </c>
      <c r="D98" s="19">
        <f t="shared" si="4"/>
        <v>3.4283532483814569E-6</v>
      </c>
    </row>
    <row r="99" spans="1:4" x14ac:dyDescent="0.25">
      <c r="A99" s="10">
        <v>1994</v>
      </c>
      <c r="B99" s="2">
        <f t="shared" si="3"/>
        <v>362.19535999999999</v>
      </c>
      <c r="C99" s="5">
        <v>7308.7550000000001</v>
      </c>
      <c r="D99" s="19">
        <f t="shared" si="4"/>
        <v>4.9556369039597029E-6</v>
      </c>
    </row>
    <row r="100" spans="1:4" x14ac:dyDescent="0.25">
      <c r="A100" s="10">
        <v>1995</v>
      </c>
      <c r="B100" s="2">
        <f t="shared" si="3"/>
        <v>414.26508799999999</v>
      </c>
      <c r="C100" s="5">
        <v>7664.06</v>
      </c>
      <c r="D100" s="19">
        <f t="shared" si="4"/>
        <v>5.4052954700250252E-6</v>
      </c>
    </row>
    <row r="101" spans="1:4" x14ac:dyDescent="0.25">
      <c r="A101" s="10">
        <v>1996</v>
      </c>
      <c r="B101" s="2">
        <f t="shared" si="3"/>
        <v>412.33942400000001</v>
      </c>
      <c r="C101" s="5">
        <v>8100.201</v>
      </c>
      <c r="D101" s="19">
        <f t="shared" si="4"/>
        <v>5.090483853425366E-6</v>
      </c>
    </row>
    <row r="102" spans="1:4" x14ac:dyDescent="0.25">
      <c r="A102" s="10">
        <v>1997</v>
      </c>
      <c r="B102" s="2">
        <f t="shared" si="3"/>
        <v>703.16601600000001</v>
      </c>
      <c r="C102" s="5">
        <v>8608.5149999999994</v>
      </c>
      <c r="D102" s="19">
        <f t="shared" si="4"/>
        <v>8.1682614945783343E-6</v>
      </c>
    </row>
    <row r="103" spans="1:4" x14ac:dyDescent="0.25">
      <c r="A103" s="10">
        <v>1998</v>
      </c>
      <c r="B103" s="2">
        <f t="shared" si="3"/>
        <v>572.62649599999997</v>
      </c>
      <c r="C103" s="5">
        <v>9089.1679999999997</v>
      </c>
      <c r="D103" s="19">
        <f t="shared" si="4"/>
        <v>6.3000980507786854E-6</v>
      </c>
    </row>
    <row r="104" spans="1:4" x14ac:dyDescent="0.25">
      <c r="A104" s="10">
        <v>1999</v>
      </c>
      <c r="B104" s="2">
        <f t="shared" si="3"/>
        <v>469.02096</v>
      </c>
      <c r="C104" s="5">
        <v>9660.6239999999998</v>
      </c>
      <c r="D104" s="19">
        <f t="shared" si="4"/>
        <v>4.8549758276484009E-6</v>
      </c>
    </row>
    <row r="105" spans="1:4" x14ac:dyDescent="0.25">
      <c r="A105" s="10">
        <v>2000</v>
      </c>
      <c r="B105" s="2">
        <f t="shared" si="3"/>
        <v>389.229713</v>
      </c>
      <c r="C105" s="5">
        <v>10284.779</v>
      </c>
      <c r="D105" s="19">
        <f t="shared" si="4"/>
        <v>3.7845218939561075E-6</v>
      </c>
    </row>
    <row r="106" spans="1:4" x14ac:dyDescent="0.25">
      <c r="A106" s="10">
        <v>2001</v>
      </c>
      <c r="B106" s="2">
        <f t="shared" si="3"/>
        <v>279.14183400000002</v>
      </c>
      <c r="C106" s="5">
        <v>10621.824000000001</v>
      </c>
      <c r="D106" s="19">
        <f t="shared" si="4"/>
        <v>2.6280028175951703E-6</v>
      </c>
    </row>
    <row r="107" spans="1:4" x14ac:dyDescent="0.25">
      <c r="A107" s="10">
        <v>2002</v>
      </c>
      <c r="B107" s="2">
        <f t="shared" si="3"/>
        <v>296.84640100000001</v>
      </c>
      <c r="C107" s="5">
        <v>10977.513999999999</v>
      </c>
      <c r="D107" s="19">
        <f t="shared" si="4"/>
        <v>2.7041313816589077E-6</v>
      </c>
    </row>
    <row r="108" spans="1:4" x14ac:dyDescent="0.25">
      <c r="A108" s="10">
        <v>2003</v>
      </c>
      <c r="B108" s="2">
        <f t="shared" si="3"/>
        <v>324.63494900000001</v>
      </c>
      <c r="C108" s="5">
        <v>11510.67</v>
      </c>
      <c r="D108" s="19">
        <f t="shared" si="4"/>
        <v>2.8202958559319309E-6</v>
      </c>
    </row>
    <row r="109" spans="1:4" x14ac:dyDescent="0.25">
      <c r="A109" s="10">
        <v>2004</v>
      </c>
      <c r="B109" s="2">
        <f t="shared" si="3"/>
        <v>380.21622500000001</v>
      </c>
      <c r="C109" s="5">
        <v>12274.928</v>
      </c>
      <c r="D109" s="19">
        <f t="shared" si="4"/>
        <v>3.0975026900361457E-6</v>
      </c>
    </row>
    <row r="110" spans="1:4" x14ac:dyDescent="0.25">
      <c r="A110" s="10">
        <v>2005</v>
      </c>
      <c r="B110" s="2">
        <f t="shared" si="3"/>
        <v>586.29403300000001</v>
      </c>
      <c r="C110" s="5">
        <v>13093.726000000001</v>
      </c>
      <c r="D110" s="19">
        <f t="shared" si="4"/>
        <v>4.4776714664718049E-6</v>
      </c>
    </row>
    <row r="111" spans="1:4" x14ac:dyDescent="0.25">
      <c r="A111" s="10">
        <v>2006</v>
      </c>
      <c r="B111" s="2">
        <f t="shared" si="3"/>
        <v>579.43696</v>
      </c>
      <c r="C111" s="5">
        <v>13855.888000000001</v>
      </c>
      <c r="D111" s="19">
        <f t="shared" si="4"/>
        <v>4.1818825325377917E-6</v>
      </c>
    </row>
    <row r="112" spans="1:4" x14ac:dyDescent="0.25">
      <c r="A112" s="10">
        <v>2007</v>
      </c>
      <c r="B112" s="2">
        <f t="shared" si="3"/>
        <v>658.19860600000004</v>
      </c>
      <c r="C112" s="5">
        <v>14477.635</v>
      </c>
      <c r="D112" s="19">
        <f t="shared" si="4"/>
        <v>4.5463130269550242E-6</v>
      </c>
    </row>
    <row r="113" spans="1:10" x14ac:dyDescent="0.25">
      <c r="A113" s="10">
        <v>2008</v>
      </c>
      <c r="B113" s="2">
        <f t="shared" si="3"/>
        <v>784.02828799999997</v>
      </c>
      <c r="C113" s="5">
        <v>14718.582</v>
      </c>
      <c r="D113" s="19">
        <f t="shared" si="4"/>
        <v>5.3267922684399894E-6</v>
      </c>
    </row>
    <row r="114" spans="1:10" x14ac:dyDescent="0.25">
      <c r="A114" s="10">
        <v>2009</v>
      </c>
      <c r="B114" s="2">
        <f t="shared" si="3"/>
        <v>767.05405399999995</v>
      </c>
      <c r="C114" s="5">
        <v>14418.739</v>
      </c>
      <c r="D114" s="19">
        <f t="shared" si="4"/>
        <v>5.3198414507676436E-6</v>
      </c>
    </row>
    <row r="115" spans="1:10" x14ac:dyDescent="0.25">
      <c r="A115" s="10">
        <v>2010</v>
      </c>
      <c r="B115" s="2">
        <f t="shared" si="3"/>
        <v>879.24043200000006</v>
      </c>
      <c r="C115" s="5">
        <v>14964.371999999999</v>
      </c>
      <c r="D115" s="19">
        <f t="shared" si="4"/>
        <v>5.8755585065647933E-6</v>
      </c>
    </row>
    <row r="116" spans="1:10" x14ac:dyDescent="0.25">
      <c r="A116" s="10">
        <v>2011</v>
      </c>
      <c r="B116" s="2">
        <f t="shared" si="3"/>
        <v>1253.501368</v>
      </c>
      <c r="C116" s="5">
        <v>15517.925999999999</v>
      </c>
      <c r="D116" s="19">
        <f t="shared" si="4"/>
        <v>8.0777635361838949E-6</v>
      </c>
    </row>
    <row r="117" spans="1:10" x14ac:dyDescent="0.25">
      <c r="A117" s="10">
        <v>2012</v>
      </c>
      <c r="B117" s="2">
        <f t="shared" si="3"/>
        <v>925.35675600000002</v>
      </c>
      <c r="C117" s="5">
        <v>16155.254999999999</v>
      </c>
      <c r="D117" s="19">
        <f t="shared" si="4"/>
        <v>5.7278994110585074E-6</v>
      </c>
    </row>
    <row r="118" spans="1:10" x14ac:dyDescent="0.25">
      <c r="A118" s="10">
        <v>2013</v>
      </c>
      <c r="B118" s="2">
        <f t="shared" si="3"/>
        <v>959.63503200000002</v>
      </c>
      <c r="C118" s="5">
        <v>16663.16</v>
      </c>
      <c r="D118" s="19">
        <f t="shared" si="4"/>
        <v>5.7590218902057001E-6</v>
      </c>
    </row>
    <row r="119" spans="1:10" x14ac:dyDescent="0.25">
      <c r="A119" s="10">
        <v>2014</v>
      </c>
      <c r="B119" s="2">
        <f t="shared" si="3"/>
        <v>1138.514244</v>
      </c>
      <c r="C119" s="5">
        <v>17348.071499999998</v>
      </c>
      <c r="D119" s="19">
        <f t="shared" si="4"/>
        <v>6.5627712221499673E-6</v>
      </c>
    </row>
    <row r="120" spans="1:10" x14ac:dyDescent="0.25">
      <c r="A120" s="11">
        <v>2015</v>
      </c>
      <c r="B120" s="2">
        <f t="shared" si="3"/>
        <v>1178.3594880000001</v>
      </c>
      <c r="C120" s="5">
        <v>17946.995999999999</v>
      </c>
      <c r="D120" s="19">
        <f t="shared" si="4"/>
        <v>6.5657756206108251E-6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147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3">
        <f t="shared" ref="B125:B149" si="5">B7+B36</f>
        <v>356.95325500000001</v>
      </c>
      <c r="C125" s="5">
        <v>41239.551378248201</v>
      </c>
      <c r="D125" s="63">
        <f t="shared" ref="D125:D149" si="6">(B125/C125)/100</f>
        <v>8.6556047064147992E-5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3">
        <f t="shared" si="5"/>
        <v>375.22349200000002</v>
      </c>
      <c r="C126" s="5">
        <v>49279.585355094838</v>
      </c>
      <c r="D126" s="63">
        <f t="shared" si="6"/>
        <v>7.614177134329459E-5</v>
      </c>
      <c r="I126" s="42"/>
    </row>
    <row r="127" spans="1:10" x14ac:dyDescent="0.25">
      <c r="A127" s="10">
        <v>1993</v>
      </c>
      <c r="B127" s="3">
        <f t="shared" si="5"/>
        <v>237.70677699999999</v>
      </c>
      <c r="C127" s="5">
        <v>55802.540100979531</v>
      </c>
      <c r="D127" s="63">
        <f t="shared" si="6"/>
        <v>4.2597841705744754E-5</v>
      </c>
    </row>
    <row r="128" spans="1:10" x14ac:dyDescent="0.25">
      <c r="A128" s="10">
        <v>1994</v>
      </c>
      <c r="B128" s="3">
        <f t="shared" si="5"/>
        <v>364.10657600000002</v>
      </c>
      <c r="C128" s="5">
        <v>81703.496603993364</v>
      </c>
      <c r="D128" s="63">
        <f t="shared" si="6"/>
        <v>4.4564381101677819E-5</v>
      </c>
    </row>
    <row r="129" spans="1:4" x14ac:dyDescent="0.25">
      <c r="A129" s="10">
        <v>1995</v>
      </c>
      <c r="B129" s="3">
        <f t="shared" si="5"/>
        <v>416.73512799999997</v>
      </c>
      <c r="C129" s="5">
        <v>92507.277798198498</v>
      </c>
      <c r="D129" s="63">
        <f t="shared" si="6"/>
        <v>4.5048901872249827E-5</v>
      </c>
    </row>
    <row r="130" spans="1:4" x14ac:dyDescent="0.25">
      <c r="A130" s="10">
        <v>1996</v>
      </c>
      <c r="B130" s="3">
        <f t="shared" si="5"/>
        <v>414.56091800000002</v>
      </c>
      <c r="C130" s="5">
        <v>97160.111573336981</v>
      </c>
      <c r="D130" s="63">
        <f t="shared" si="6"/>
        <v>4.2667809998045054E-5</v>
      </c>
    </row>
    <row r="131" spans="1:4" x14ac:dyDescent="0.25">
      <c r="A131" s="10">
        <v>1997</v>
      </c>
      <c r="B131" s="3">
        <f t="shared" si="5"/>
        <v>705.07615199999998</v>
      </c>
      <c r="C131" s="5">
        <v>106659.5079635281</v>
      </c>
      <c r="D131" s="63">
        <f t="shared" si="6"/>
        <v>6.6105325766278487E-5</v>
      </c>
    </row>
    <row r="132" spans="1:4" x14ac:dyDescent="0.25">
      <c r="A132" s="10">
        <v>1998</v>
      </c>
      <c r="B132" s="3">
        <f t="shared" si="5"/>
        <v>574.91945999999996</v>
      </c>
      <c r="C132" s="5">
        <v>98443.743190849113</v>
      </c>
      <c r="D132" s="63">
        <f t="shared" si="6"/>
        <v>5.8400812623045599E-5</v>
      </c>
    </row>
    <row r="133" spans="1:4" x14ac:dyDescent="0.25">
      <c r="A133" s="10">
        <v>1999</v>
      </c>
      <c r="B133" s="3">
        <f t="shared" si="5"/>
        <v>470.62626899999998</v>
      </c>
      <c r="C133" s="5">
        <v>86186.156584381664</v>
      </c>
      <c r="D133" s="63">
        <f t="shared" si="6"/>
        <v>5.4605784461362693E-5</v>
      </c>
    </row>
    <row r="134" spans="1:4" x14ac:dyDescent="0.25">
      <c r="A134" s="10">
        <v>2000</v>
      </c>
      <c r="B134" s="3">
        <f t="shared" si="5"/>
        <v>390.75227100000001</v>
      </c>
      <c r="C134" s="5">
        <v>99886.577575544405</v>
      </c>
      <c r="D134" s="63">
        <f t="shared" si="6"/>
        <v>3.9119597495917139E-5</v>
      </c>
    </row>
    <row r="135" spans="1:4" x14ac:dyDescent="0.25">
      <c r="A135" s="10">
        <v>2001</v>
      </c>
      <c r="B135" s="3">
        <f t="shared" si="5"/>
        <v>281.36294800000002</v>
      </c>
      <c r="C135" s="5">
        <v>98203.544965267793</v>
      </c>
      <c r="D135" s="63">
        <f t="shared" si="6"/>
        <v>2.8650997079536308E-5</v>
      </c>
    </row>
    <row r="136" spans="1:4" x14ac:dyDescent="0.25">
      <c r="A136" s="10">
        <v>2002</v>
      </c>
      <c r="B136" s="3">
        <f t="shared" si="5"/>
        <v>299.72891200000004</v>
      </c>
      <c r="C136" s="5">
        <v>97933.392356425305</v>
      </c>
      <c r="D136" s="63">
        <f t="shared" si="6"/>
        <v>3.0605384413637657E-5</v>
      </c>
    </row>
    <row r="137" spans="1:4" x14ac:dyDescent="0.25">
      <c r="A137" s="10">
        <v>2003</v>
      </c>
      <c r="B137" s="3">
        <f t="shared" si="5"/>
        <v>327.14183700000001</v>
      </c>
      <c r="C137" s="5">
        <v>94684.582573316715</v>
      </c>
      <c r="D137" s="63">
        <f t="shared" si="6"/>
        <v>3.4550697495728587E-5</v>
      </c>
    </row>
    <row r="138" spans="1:4" x14ac:dyDescent="0.25">
      <c r="A138" s="10">
        <v>2004</v>
      </c>
      <c r="B138" s="3">
        <f t="shared" si="5"/>
        <v>383.77491300000003</v>
      </c>
      <c r="C138" s="5">
        <v>117074.86551527939</v>
      </c>
      <c r="D138" s="63">
        <f t="shared" si="6"/>
        <v>3.2780299282078932E-5</v>
      </c>
    </row>
    <row r="139" spans="1:4" x14ac:dyDescent="0.25">
      <c r="A139" s="10">
        <v>2005</v>
      </c>
      <c r="B139" s="3">
        <f t="shared" si="5"/>
        <v>589.72288800000001</v>
      </c>
      <c r="C139" s="5">
        <v>146566.26631057015</v>
      </c>
      <c r="D139" s="63">
        <f t="shared" si="6"/>
        <v>4.0235922142574902E-5</v>
      </c>
    </row>
    <row r="140" spans="1:4" x14ac:dyDescent="0.25">
      <c r="A140" s="10">
        <v>2006</v>
      </c>
      <c r="B140" s="3">
        <f t="shared" si="5"/>
        <v>584.81026599999996</v>
      </c>
      <c r="C140" s="5">
        <v>162590.1460964143</v>
      </c>
      <c r="D140" s="63">
        <f t="shared" si="6"/>
        <v>3.5968370780183288E-5</v>
      </c>
    </row>
    <row r="141" spans="1:4" x14ac:dyDescent="0.25">
      <c r="A141" s="10">
        <v>2007</v>
      </c>
      <c r="B141" s="3">
        <f t="shared" si="5"/>
        <v>661.88992400000006</v>
      </c>
      <c r="C141" s="5">
        <v>207416.49464237894</v>
      </c>
      <c r="D141" s="63">
        <f t="shared" si="6"/>
        <v>3.1911151769352294E-5</v>
      </c>
    </row>
    <row r="142" spans="1:4" x14ac:dyDescent="0.25">
      <c r="A142" s="10">
        <v>2008</v>
      </c>
      <c r="B142" s="3">
        <f t="shared" si="5"/>
        <v>789.53349500000002</v>
      </c>
      <c r="C142" s="5">
        <v>243982.43787084011</v>
      </c>
      <c r="D142" s="63">
        <f t="shared" si="6"/>
        <v>3.2360259283004818E-5</v>
      </c>
    </row>
    <row r="143" spans="1:4" x14ac:dyDescent="0.25">
      <c r="A143" s="10">
        <v>2009</v>
      </c>
      <c r="B143" s="3">
        <f t="shared" si="5"/>
        <v>771.74862999999993</v>
      </c>
      <c r="C143" s="5">
        <v>233821.6705442575</v>
      </c>
      <c r="D143" s="63">
        <f t="shared" si="6"/>
        <v>3.3005864178612316E-5</v>
      </c>
    </row>
    <row r="144" spans="1:4" x14ac:dyDescent="0.25">
      <c r="A144" s="10">
        <v>2010</v>
      </c>
      <c r="B144" s="3">
        <f t="shared" si="5"/>
        <v>885.08941900000002</v>
      </c>
      <c r="C144" s="5">
        <v>287018.18463752925</v>
      </c>
      <c r="D144" s="63">
        <f t="shared" si="6"/>
        <v>3.0837398686698736E-5</v>
      </c>
    </row>
    <row r="145" spans="1:10" x14ac:dyDescent="0.25">
      <c r="A145" s="10">
        <v>2011</v>
      </c>
      <c r="B145" s="3">
        <f t="shared" si="5"/>
        <v>1260.31934</v>
      </c>
      <c r="C145" s="5">
        <v>335415.15670218616</v>
      </c>
      <c r="D145" s="63">
        <f t="shared" si="6"/>
        <v>3.75749072400754E-5</v>
      </c>
    </row>
    <row r="146" spans="1:10" x14ac:dyDescent="0.25">
      <c r="A146" s="10">
        <v>2012</v>
      </c>
      <c r="B146" s="3">
        <f t="shared" si="5"/>
        <v>938.820425</v>
      </c>
      <c r="C146" s="5">
        <v>369659.70037551981</v>
      </c>
      <c r="D146" s="63">
        <f t="shared" si="6"/>
        <v>2.5396883242785099E-5</v>
      </c>
    </row>
    <row r="147" spans="1:10" x14ac:dyDescent="0.25">
      <c r="A147" s="10">
        <v>2013</v>
      </c>
      <c r="B147" s="3">
        <f t="shared" si="5"/>
        <v>989.38817500000005</v>
      </c>
      <c r="C147" s="5">
        <v>380191.88186037214</v>
      </c>
      <c r="D147" s="63">
        <f t="shared" si="6"/>
        <v>2.6023390351174281E-5</v>
      </c>
    </row>
    <row r="148" spans="1:10" x14ac:dyDescent="0.25">
      <c r="A148" s="10">
        <v>2014</v>
      </c>
      <c r="B148" s="3">
        <f t="shared" si="5"/>
        <v>1169.1284840000001</v>
      </c>
      <c r="C148" s="5">
        <v>378416.02053371473</v>
      </c>
      <c r="D148" s="63">
        <f t="shared" si="6"/>
        <v>3.0895322094214488E-5</v>
      </c>
    </row>
    <row r="149" spans="1:10" x14ac:dyDescent="0.25">
      <c r="A149" s="11">
        <v>2015</v>
      </c>
      <c r="B149" s="3">
        <f t="shared" si="5"/>
        <v>1203.9165170000001</v>
      </c>
      <c r="C149" s="6">
        <v>292080.15563330991</v>
      </c>
      <c r="D149" s="63">
        <f t="shared" si="6"/>
        <v>4.121870294096423E-5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45" x14ac:dyDescent="0.25">
      <c r="A153" s="12" t="s">
        <v>3</v>
      </c>
      <c r="B153" s="13" t="s">
        <v>148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80">
        <f t="shared" ref="B154:B178" si="7">B125</f>
        <v>356.95325500000001</v>
      </c>
      <c r="C154" s="5">
        <v>6174.0429999999997</v>
      </c>
      <c r="D154" s="19">
        <f t="shared" ref="D154:D178" si="8">(B154/C154)/10000</f>
        <v>5.7815155320427799E-6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80">
        <f t="shared" si="7"/>
        <v>375.22349200000002</v>
      </c>
      <c r="C155" s="5">
        <v>6539.299</v>
      </c>
      <c r="D155" s="19">
        <f t="shared" si="8"/>
        <v>5.7379772969549184E-6</v>
      </c>
    </row>
    <row r="156" spans="1:10" x14ac:dyDescent="0.25">
      <c r="A156" s="10">
        <v>1993</v>
      </c>
      <c r="B156" s="80">
        <f t="shared" si="7"/>
        <v>237.70677699999999</v>
      </c>
      <c r="C156" s="5">
        <v>6878.7179999999998</v>
      </c>
      <c r="D156" s="19">
        <f t="shared" si="8"/>
        <v>3.4556842859381647E-6</v>
      </c>
    </row>
    <row r="157" spans="1:10" x14ac:dyDescent="0.25">
      <c r="A157" s="10">
        <v>1994</v>
      </c>
      <c r="B157" s="80">
        <f t="shared" si="7"/>
        <v>364.10657600000002</v>
      </c>
      <c r="C157" s="5">
        <v>7308.7550000000001</v>
      </c>
      <c r="D157" s="19">
        <f t="shared" si="8"/>
        <v>4.9817865833510634E-6</v>
      </c>
    </row>
    <row r="158" spans="1:10" x14ac:dyDescent="0.25">
      <c r="A158" s="10">
        <v>1995</v>
      </c>
      <c r="B158" s="80">
        <f t="shared" si="7"/>
        <v>416.73512799999997</v>
      </c>
      <c r="C158" s="5">
        <v>7664.06</v>
      </c>
      <c r="D158" s="19">
        <f t="shared" si="8"/>
        <v>5.4375243408845961E-6</v>
      </c>
    </row>
    <row r="159" spans="1:10" x14ac:dyDescent="0.25">
      <c r="A159" s="10">
        <v>1996</v>
      </c>
      <c r="B159" s="80">
        <f t="shared" si="7"/>
        <v>414.56091800000002</v>
      </c>
      <c r="C159" s="5">
        <v>8100.201</v>
      </c>
      <c r="D159" s="19">
        <f t="shared" si="8"/>
        <v>5.1179090247266707E-6</v>
      </c>
    </row>
    <row r="160" spans="1:10" x14ac:dyDescent="0.25">
      <c r="A160" s="10">
        <v>1997</v>
      </c>
      <c r="B160" s="80">
        <f t="shared" si="7"/>
        <v>705.07615199999998</v>
      </c>
      <c r="C160" s="5">
        <v>8608.5149999999994</v>
      </c>
      <c r="D160" s="19">
        <f t="shared" si="8"/>
        <v>8.1904504086941836E-6</v>
      </c>
    </row>
    <row r="161" spans="1:4" x14ac:dyDescent="0.25">
      <c r="A161" s="10">
        <v>1998</v>
      </c>
      <c r="B161" s="80">
        <f t="shared" si="7"/>
        <v>574.91945999999996</v>
      </c>
      <c r="C161" s="5">
        <v>9089.1679999999997</v>
      </c>
      <c r="D161" s="19">
        <f t="shared" si="8"/>
        <v>6.3253254863371426E-6</v>
      </c>
    </row>
    <row r="162" spans="1:4" x14ac:dyDescent="0.25">
      <c r="A162" s="10">
        <v>1999</v>
      </c>
      <c r="B162" s="80">
        <f t="shared" si="7"/>
        <v>470.62626899999998</v>
      </c>
      <c r="C162" s="5">
        <v>9660.6239999999998</v>
      </c>
      <c r="D162" s="19">
        <f t="shared" si="8"/>
        <v>4.8715928598401098E-6</v>
      </c>
    </row>
    <row r="163" spans="1:4" x14ac:dyDescent="0.25">
      <c r="A163" s="10">
        <v>2000</v>
      </c>
      <c r="B163" s="80">
        <f t="shared" si="7"/>
        <v>390.75227100000001</v>
      </c>
      <c r="C163" s="5">
        <v>10284.779</v>
      </c>
      <c r="D163" s="19">
        <f t="shared" si="8"/>
        <v>3.7993258873136696E-6</v>
      </c>
    </row>
    <row r="164" spans="1:4" x14ac:dyDescent="0.25">
      <c r="A164" s="10">
        <v>2001</v>
      </c>
      <c r="B164" s="80">
        <f t="shared" si="7"/>
        <v>281.36294800000002</v>
      </c>
      <c r="C164" s="5">
        <v>10621.824000000001</v>
      </c>
      <c r="D164" s="19">
        <f t="shared" si="8"/>
        <v>2.648913670571081E-6</v>
      </c>
    </row>
    <row r="165" spans="1:4" x14ac:dyDescent="0.25">
      <c r="A165" s="10">
        <v>2002</v>
      </c>
      <c r="B165" s="80">
        <f t="shared" si="7"/>
        <v>299.72891200000004</v>
      </c>
      <c r="C165" s="5">
        <v>10977.513999999999</v>
      </c>
      <c r="D165" s="19">
        <f t="shared" si="8"/>
        <v>2.730389703898351E-6</v>
      </c>
    </row>
    <row r="166" spans="1:4" x14ac:dyDescent="0.25">
      <c r="A166" s="10">
        <v>2003</v>
      </c>
      <c r="B166" s="80">
        <f t="shared" si="7"/>
        <v>327.14183700000001</v>
      </c>
      <c r="C166" s="5">
        <v>11510.67</v>
      </c>
      <c r="D166" s="19">
        <f t="shared" si="8"/>
        <v>2.8420746750623552E-6</v>
      </c>
    </row>
    <row r="167" spans="1:4" x14ac:dyDescent="0.25">
      <c r="A167" s="10">
        <v>2004</v>
      </c>
      <c r="B167" s="80">
        <f t="shared" si="7"/>
        <v>383.77491300000003</v>
      </c>
      <c r="C167" s="5">
        <v>12274.928</v>
      </c>
      <c r="D167" s="19">
        <f t="shared" si="8"/>
        <v>3.1264942083570674E-6</v>
      </c>
    </row>
    <row r="168" spans="1:4" x14ac:dyDescent="0.25">
      <c r="A168" s="10">
        <v>2005</v>
      </c>
      <c r="B168" s="80">
        <f t="shared" si="7"/>
        <v>589.72288800000001</v>
      </c>
      <c r="C168" s="5">
        <v>13093.726000000001</v>
      </c>
      <c r="D168" s="19">
        <f t="shared" si="8"/>
        <v>4.5038584738981097E-6</v>
      </c>
    </row>
    <row r="169" spans="1:4" x14ac:dyDescent="0.25">
      <c r="A169" s="10">
        <v>2006</v>
      </c>
      <c r="B169" s="80">
        <f t="shared" si="7"/>
        <v>584.81026599999996</v>
      </c>
      <c r="C169" s="5">
        <v>13855.888000000001</v>
      </c>
      <c r="D169" s="19">
        <f t="shared" si="8"/>
        <v>4.22066247937339E-6</v>
      </c>
    </row>
    <row r="170" spans="1:4" x14ac:dyDescent="0.25">
      <c r="A170" s="10">
        <v>2007</v>
      </c>
      <c r="B170" s="80">
        <f t="shared" si="7"/>
        <v>661.88992400000006</v>
      </c>
      <c r="C170" s="5">
        <v>14477.635</v>
      </c>
      <c r="D170" s="19">
        <f t="shared" si="8"/>
        <v>4.5718097189216336E-6</v>
      </c>
    </row>
    <row r="171" spans="1:4" x14ac:dyDescent="0.25">
      <c r="A171" s="10">
        <v>2008</v>
      </c>
      <c r="B171" s="80">
        <f t="shared" si="7"/>
        <v>789.53349500000002</v>
      </c>
      <c r="C171" s="5">
        <v>14718.582</v>
      </c>
      <c r="D171" s="19">
        <f t="shared" si="8"/>
        <v>5.3641953756143082E-6</v>
      </c>
    </row>
    <row r="172" spans="1:4" x14ac:dyDescent="0.25">
      <c r="A172" s="10">
        <v>2009</v>
      </c>
      <c r="B172" s="80">
        <f t="shared" si="7"/>
        <v>771.74862999999993</v>
      </c>
      <c r="C172" s="5">
        <v>14418.739</v>
      </c>
      <c r="D172" s="19">
        <f t="shared" si="8"/>
        <v>5.3524003035216882E-6</v>
      </c>
    </row>
    <row r="173" spans="1:4" x14ac:dyDescent="0.25">
      <c r="A173" s="10">
        <v>2010</v>
      </c>
      <c r="B173" s="80">
        <f t="shared" si="7"/>
        <v>885.08941900000002</v>
      </c>
      <c r="C173" s="5">
        <v>14964.371999999999</v>
      </c>
      <c r="D173" s="19">
        <f t="shared" si="8"/>
        <v>5.9146445904980184E-6</v>
      </c>
    </row>
    <row r="174" spans="1:4" x14ac:dyDescent="0.25">
      <c r="A174" s="10">
        <v>2011</v>
      </c>
      <c r="B174" s="80">
        <f t="shared" si="7"/>
        <v>1260.31934</v>
      </c>
      <c r="C174" s="5">
        <v>15517.925999999999</v>
      </c>
      <c r="D174" s="19">
        <f t="shared" si="8"/>
        <v>8.1216996395007944E-6</v>
      </c>
    </row>
    <row r="175" spans="1:4" x14ac:dyDescent="0.25">
      <c r="A175" s="10">
        <v>2012</v>
      </c>
      <c r="B175" s="80">
        <f t="shared" si="7"/>
        <v>938.820425</v>
      </c>
      <c r="C175" s="5">
        <v>16155.254999999999</v>
      </c>
      <c r="D175" s="19">
        <f t="shared" si="8"/>
        <v>5.8112386650659495E-6</v>
      </c>
    </row>
    <row r="176" spans="1:4" x14ac:dyDescent="0.25">
      <c r="A176" s="10">
        <v>2013</v>
      </c>
      <c r="B176" s="80">
        <f t="shared" si="7"/>
        <v>989.38817500000005</v>
      </c>
      <c r="C176" s="5">
        <v>16663.16</v>
      </c>
      <c r="D176" s="19">
        <f t="shared" si="8"/>
        <v>5.937578316477787E-6</v>
      </c>
    </row>
    <row r="177" spans="1:10" x14ac:dyDescent="0.25">
      <c r="A177" s="10">
        <v>2014</v>
      </c>
      <c r="B177" s="80">
        <f t="shared" si="7"/>
        <v>1169.1284840000001</v>
      </c>
      <c r="C177" s="5">
        <v>17348.071499999998</v>
      </c>
      <c r="D177" s="19">
        <f t="shared" si="8"/>
        <v>6.739241788345178E-6</v>
      </c>
    </row>
    <row r="178" spans="1:10" x14ac:dyDescent="0.25">
      <c r="A178" s="11">
        <v>2015</v>
      </c>
      <c r="B178" s="80">
        <f t="shared" si="7"/>
        <v>1203.9165170000001</v>
      </c>
      <c r="C178" s="5">
        <v>17946.995999999999</v>
      </c>
      <c r="D178" s="19">
        <f t="shared" si="8"/>
        <v>6.7081784439022564E-6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75" x14ac:dyDescent="0.25">
      <c r="A183" s="12" t="s">
        <v>3</v>
      </c>
      <c r="B183" s="13" t="s">
        <v>149</v>
      </c>
      <c r="C183" s="13" t="s">
        <v>150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80">
        <f t="shared" ref="B184:B208" si="9">B154</f>
        <v>356.95325500000001</v>
      </c>
      <c r="C184" s="80">
        <f>Tabla116192640124[[#This Row],[Balanza Comercial Absoluta Colombia 
(US$ millones)]]/2</f>
        <v>178.47662750000001</v>
      </c>
      <c r="D184" s="5">
        <v>41239.551378248201</v>
      </c>
      <c r="E184" s="63">
        <f t="shared" ref="E184:E208" si="10">C184/(D184*100)</f>
        <v>4.3278023532073989E-5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80">
        <f t="shared" si="9"/>
        <v>375.22349200000002</v>
      </c>
      <c r="C185" s="80">
        <f>Tabla116192640124[[#This Row],[Balanza Comercial Absoluta Colombia 
(US$ millones)]]/2</f>
        <v>187.61174600000001</v>
      </c>
      <c r="D185" s="5">
        <v>49279.585355094838</v>
      </c>
      <c r="E185" s="63">
        <f t="shared" si="10"/>
        <v>3.8070885671647295E-5</v>
      </c>
    </row>
    <row r="186" spans="1:10" x14ac:dyDescent="0.25">
      <c r="A186" s="10">
        <v>1993</v>
      </c>
      <c r="B186" s="80">
        <f t="shared" si="9"/>
        <v>237.70677699999999</v>
      </c>
      <c r="C186" s="80">
        <f>Tabla116192640124[[#This Row],[Balanza Comercial Absoluta Colombia 
(US$ millones)]]/2</f>
        <v>118.85338849999999</v>
      </c>
      <c r="D186" s="5">
        <v>55802.540100979531</v>
      </c>
      <c r="E186" s="63">
        <f t="shared" si="10"/>
        <v>2.1298920852872374E-5</v>
      </c>
    </row>
    <row r="187" spans="1:10" x14ac:dyDescent="0.25">
      <c r="A187" s="10">
        <v>1994</v>
      </c>
      <c r="B187" s="80">
        <f t="shared" si="9"/>
        <v>364.10657600000002</v>
      </c>
      <c r="C187" s="80">
        <f>Tabla116192640124[[#This Row],[Balanza Comercial Absoluta Colombia 
(US$ millones)]]/2</f>
        <v>182.05328800000001</v>
      </c>
      <c r="D187" s="5">
        <v>81703.496603993364</v>
      </c>
      <c r="E187" s="63">
        <f t="shared" si="10"/>
        <v>2.2282190550838913E-5</v>
      </c>
    </row>
    <row r="188" spans="1:10" x14ac:dyDescent="0.25">
      <c r="A188" s="10">
        <v>1995</v>
      </c>
      <c r="B188" s="80">
        <f t="shared" si="9"/>
        <v>416.73512799999997</v>
      </c>
      <c r="C188" s="80">
        <f>Tabla116192640124[[#This Row],[Balanza Comercial Absoluta Colombia 
(US$ millones)]]/2</f>
        <v>208.36756399999999</v>
      </c>
      <c r="D188" s="5">
        <v>92507.277798198498</v>
      </c>
      <c r="E188" s="63">
        <f t="shared" si="10"/>
        <v>2.2524450936124917E-5</v>
      </c>
    </row>
    <row r="189" spans="1:10" x14ac:dyDescent="0.25">
      <c r="A189" s="10">
        <v>1996</v>
      </c>
      <c r="B189" s="80">
        <f t="shared" si="9"/>
        <v>414.56091800000002</v>
      </c>
      <c r="C189" s="80">
        <f>Tabla116192640124[[#This Row],[Balanza Comercial Absoluta Colombia 
(US$ millones)]]/2</f>
        <v>207.28045900000001</v>
      </c>
      <c r="D189" s="5">
        <v>97160.111573336981</v>
      </c>
      <c r="E189" s="63">
        <f t="shared" si="10"/>
        <v>2.1333904999022523E-5</v>
      </c>
    </row>
    <row r="190" spans="1:10" x14ac:dyDescent="0.25">
      <c r="A190" s="10">
        <v>1997</v>
      </c>
      <c r="B190" s="80">
        <f t="shared" si="9"/>
        <v>705.07615199999998</v>
      </c>
      <c r="C190" s="80">
        <f>Tabla116192640124[[#This Row],[Balanza Comercial Absoluta Colombia 
(US$ millones)]]/2</f>
        <v>352.53807599999999</v>
      </c>
      <c r="D190" s="5">
        <v>106659.5079635281</v>
      </c>
      <c r="E190" s="63">
        <f t="shared" si="10"/>
        <v>3.3052662883139243E-5</v>
      </c>
    </row>
    <row r="191" spans="1:10" x14ac:dyDescent="0.25">
      <c r="A191" s="10">
        <v>1998</v>
      </c>
      <c r="B191" s="80">
        <f t="shared" si="9"/>
        <v>574.91945999999996</v>
      </c>
      <c r="C191" s="80">
        <f>Tabla116192640124[[#This Row],[Balanza Comercial Absoluta Colombia 
(US$ millones)]]/2</f>
        <v>287.45972999999998</v>
      </c>
      <c r="D191" s="5">
        <v>98443.743190849113</v>
      </c>
      <c r="E191" s="63">
        <f t="shared" si="10"/>
        <v>2.9200406311522799E-5</v>
      </c>
    </row>
    <row r="192" spans="1:10" x14ac:dyDescent="0.25">
      <c r="A192" s="10">
        <v>1999</v>
      </c>
      <c r="B192" s="80">
        <f t="shared" si="9"/>
        <v>470.62626899999998</v>
      </c>
      <c r="C192" s="80">
        <f>Tabla116192640124[[#This Row],[Balanza Comercial Absoluta Colombia 
(US$ millones)]]/2</f>
        <v>235.31313449999999</v>
      </c>
      <c r="D192" s="5">
        <v>86186.156584381664</v>
      </c>
      <c r="E192" s="63">
        <f t="shared" si="10"/>
        <v>2.7302892230681343E-5</v>
      </c>
    </row>
    <row r="193" spans="1:5" x14ac:dyDescent="0.25">
      <c r="A193" s="10">
        <v>2000</v>
      </c>
      <c r="B193" s="80">
        <f t="shared" si="9"/>
        <v>390.75227100000001</v>
      </c>
      <c r="C193" s="80">
        <f>Tabla116192640124[[#This Row],[Balanza Comercial Absoluta Colombia 
(US$ millones)]]/2</f>
        <v>195.3761355</v>
      </c>
      <c r="D193" s="5">
        <v>99886.577575544405</v>
      </c>
      <c r="E193" s="63">
        <f t="shared" si="10"/>
        <v>1.9559798747958573E-5</v>
      </c>
    </row>
    <row r="194" spans="1:5" x14ac:dyDescent="0.25">
      <c r="A194" s="10">
        <v>2001</v>
      </c>
      <c r="B194" s="80">
        <f t="shared" si="9"/>
        <v>281.36294800000002</v>
      </c>
      <c r="C194" s="80">
        <f>Tabla116192640124[[#This Row],[Balanza Comercial Absoluta Colombia 
(US$ millones)]]/2</f>
        <v>140.68147400000001</v>
      </c>
      <c r="D194" s="5">
        <v>98203.544965267793</v>
      </c>
      <c r="E194" s="63">
        <f t="shared" si="10"/>
        <v>1.4325498539768154E-5</v>
      </c>
    </row>
    <row r="195" spans="1:5" x14ac:dyDescent="0.25">
      <c r="A195" s="10">
        <v>2002</v>
      </c>
      <c r="B195" s="80">
        <f t="shared" si="9"/>
        <v>299.72891200000004</v>
      </c>
      <c r="C195" s="80">
        <f>Tabla116192640124[[#This Row],[Balanza Comercial Absoluta Colombia 
(US$ millones)]]/2</f>
        <v>149.86445600000002</v>
      </c>
      <c r="D195" s="5">
        <v>97933.392356425305</v>
      </c>
      <c r="E195" s="63">
        <f t="shared" si="10"/>
        <v>1.5302692206818828E-5</v>
      </c>
    </row>
    <row r="196" spans="1:5" x14ac:dyDescent="0.25">
      <c r="A196" s="10">
        <v>2003</v>
      </c>
      <c r="B196" s="80">
        <f t="shared" si="9"/>
        <v>327.14183700000001</v>
      </c>
      <c r="C196" s="80">
        <f>Tabla116192640124[[#This Row],[Balanza Comercial Absoluta Colombia 
(US$ millones)]]/2</f>
        <v>163.5709185</v>
      </c>
      <c r="D196" s="5">
        <v>94684.582573316715</v>
      </c>
      <c r="E196" s="63">
        <f t="shared" si="10"/>
        <v>1.7275348747864293E-5</v>
      </c>
    </row>
    <row r="197" spans="1:5" x14ac:dyDescent="0.25">
      <c r="A197" s="10">
        <v>2004</v>
      </c>
      <c r="B197" s="80">
        <f t="shared" si="9"/>
        <v>383.77491300000003</v>
      </c>
      <c r="C197" s="80">
        <f>Tabla116192640124[[#This Row],[Balanza Comercial Absoluta Colombia 
(US$ millones)]]/2</f>
        <v>191.88745650000001</v>
      </c>
      <c r="D197" s="5">
        <v>117074.86551527939</v>
      </c>
      <c r="E197" s="63">
        <f t="shared" si="10"/>
        <v>1.6390149641039462E-5</v>
      </c>
    </row>
    <row r="198" spans="1:5" x14ac:dyDescent="0.25">
      <c r="A198" s="10">
        <v>2005</v>
      </c>
      <c r="B198" s="80">
        <f t="shared" si="9"/>
        <v>589.72288800000001</v>
      </c>
      <c r="C198" s="80">
        <f>Tabla116192640124[[#This Row],[Balanza Comercial Absoluta Colombia 
(US$ millones)]]/2</f>
        <v>294.86144400000001</v>
      </c>
      <c r="D198" s="5">
        <v>146566.26631057015</v>
      </c>
      <c r="E198" s="63">
        <f t="shared" si="10"/>
        <v>2.0117961071287454E-5</v>
      </c>
    </row>
    <row r="199" spans="1:5" x14ac:dyDescent="0.25">
      <c r="A199" s="10">
        <v>2006</v>
      </c>
      <c r="B199" s="80">
        <f t="shared" si="9"/>
        <v>584.81026599999996</v>
      </c>
      <c r="C199" s="80">
        <f>Tabla116192640124[[#This Row],[Balanza Comercial Absoluta Colombia 
(US$ millones)]]/2</f>
        <v>292.40513299999998</v>
      </c>
      <c r="D199" s="5">
        <v>162590.1460964143</v>
      </c>
      <c r="E199" s="63">
        <f t="shared" si="10"/>
        <v>1.7984185390091641E-5</v>
      </c>
    </row>
    <row r="200" spans="1:5" x14ac:dyDescent="0.25">
      <c r="A200" s="10">
        <v>2007</v>
      </c>
      <c r="B200" s="80">
        <f t="shared" si="9"/>
        <v>661.88992400000006</v>
      </c>
      <c r="C200" s="80">
        <f>Tabla116192640124[[#This Row],[Balanza Comercial Absoluta Colombia 
(US$ millones)]]/2</f>
        <v>330.94496200000003</v>
      </c>
      <c r="D200" s="5">
        <v>207416.49464237894</v>
      </c>
      <c r="E200" s="63">
        <f t="shared" si="10"/>
        <v>1.5955575884676144E-5</v>
      </c>
    </row>
    <row r="201" spans="1:5" x14ac:dyDescent="0.25">
      <c r="A201" s="10">
        <v>2008</v>
      </c>
      <c r="B201" s="80">
        <f t="shared" si="9"/>
        <v>789.53349500000002</v>
      </c>
      <c r="C201" s="80">
        <f>Tabla116192640124[[#This Row],[Balanza Comercial Absoluta Colombia 
(US$ millones)]]/2</f>
        <v>394.76674750000001</v>
      </c>
      <c r="D201" s="5">
        <v>243982.43787084011</v>
      </c>
      <c r="E201" s="63">
        <f t="shared" si="10"/>
        <v>1.6180129641502409E-5</v>
      </c>
    </row>
    <row r="202" spans="1:5" x14ac:dyDescent="0.25">
      <c r="A202" s="10">
        <v>2009</v>
      </c>
      <c r="B202" s="80">
        <f t="shared" si="9"/>
        <v>771.74862999999993</v>
      </c>
      <c r="C202" s="80">
        <f>Tabla116192640124[[#This Row],[Balanza Comercial Absoluta Colombia 
(US$ millones)]]/2</f>
        <v>385.87431499999997</v>
      </c>
      <c r="D202" s="5">
        <v>233821.6705442575</v>
      </c>
      <c r="E202" s="63">
        <f t="shared" si="10"/>
        <v>1.6502932089306158E-5</v>
      </c>
    </row>
    <row r="203" spans="1:5" x14ac:dyDescent="0.25">
      <c r="A203" s="10">
        <v>2010</v>
      </c>
      <c r="B203" s="80">
        <f t="shared" si="9"/>
        <v>885.08941900000002</v>
      </c>
      <c r="C203" s="80">
        <f>Tabla116192640124[[#This Row],[Balanza Comercial Absoluta Colombia 
(US$ millones)]]/2</f>
        <v>442.54470950000001</v>
      </c>
      <c r="D203" s="5">
        <v>287018.18463752925</v>
      </c>
      <c r="E203" s="63">
        <f t="shared" si="10"/>
        <v>1.5418699343349368E-5</v>
      </c>
    </row>
    <row r="204" spans="1:5" x14ac:dyDescent="0.25">
      <c r="A204" s="10">
        <v>2011</v>
      </c>
      <c r="B204" s="80">
        <f t="shared" si="9"/>
        <v>1260.31934</v>
      </c>
      <c r="C204" s="80">
        <f>Tabla116192640124[[#This Row],[Balanza Comercial Absoluta Colombia 
(US$ millones)]]/2</f>
        <v>630.15967000000001</v>
      </c>
      <c r="D204" s="5">
        <v>335415.15670218616</v>
      </c>
      <c r="E204" s="63">
        <f t="shared" si="10"/>
        <v>1.87874536200377E-5</v>
      </c>
    </row>
    <row r="205" spans="1:5" x14ac:dyDescent="0.25">
      <c r="A205" s="10">
        <v>2012</v>
      </c>
      <c r="B205" s="80">
        <f t="shared" si="9"/>
        <v>938.820425</v>
      </c>
      <c r="C205" s="80">
        <f>Tabla116192640124[[#This Row],[Balanza Comercial Absoluta Colombia 
(US$ millones)]]/2</f>
        <v>469.4102125</v>
      </c>
      <c r="D205" s="5">
        <v>369659.70037551981</v>
      </c>
      <c r="E205" s="63">
        <f t="shared" si="10"/>
        <v>1.2698441621392549E-5</v>
      </c>
    </row>
    <row r="206" spans="1:5" x14ac:dyDescent="0.25">
      <c r="A206" s="10">
        <v>2013</v>
      </c>
      <c r="B206" s="80">
        <f t="shared" si="9"/>
        <v>989.38817500000005</v>
      </c>
      <c r="C206" s="80">
        <f>Tabla116192640124[[#This Row],[Balanza Comercial Absoluta Colombia 
(US$ millones)]]/2</f>
        <v>494.69408750000002</v>
      </c>
      <c r="D206" s="5">
        <v>380191.88186037214</v>
      </c>
      <c r="E206" s="63">
        <f t="shared" si="10"/>
        <v>1.3011695175587141E-5</v>
      </c>
    </row>
    <row r="207" spans="1:5" x14ac:dyDescent="0.25">
      <c r="A207" s="10">
        <v>2014</v>
      </c>
      <c r="B207" s="80">
        <f t="shared" si="9"/>
        <v>1169.1284840000001</v>
      </c>
      <c r="C207" s="80">
        <f>Tabla116192640124[[#This Row],[Balanza Comercial Absoluta Colombia 
(US$ millones)]]/2</f>
        <v>584.56424200000004</v>
      </c>
      <c r="D207" s="5">
        <v>378416.02053371473</v>
      </c>
      <c r="E207" s="63">
        <f t="shared" si="10"/>
        <v>1.5447661047107244E-5</v>
      </c>
    </row>
    <row r="208" spans="1:5" x14ac:dyDescent="0.25">
      <c r="A208" s="11">
        <v>2015</v>
      </c>
      <c r="B208" s="80">
        <f t="shared" si="9"/>
        <v>1203.9165170000001</v>
      </c>
      <c r="C208" s="85">
        <f>Tabla116192640124[[#This Row],[Balanza Comercial Absoluta Colombia 
(US$ millones)]]/2</f>
        <v>601.95825850000006</v>
      </c>
      <c r="D208" s="6">
        <v>292080.15563330991</v>
      </c>
      <c r="E208" s="63">
        <f t="shared" si="10"/>
        <v>2.0609351470482115E-5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60" x14ac:dyDescent="0.25">
      <c r="A212" s="28" t="s">
        <v>3</v>
      </c>
      <c r="B212" s="29" t="s">
        <v>148</v>
      </c>
      <c r="C212" s="29" t="s">
        <v>151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80">
        <f t="shared" ref="B213:B237" si="11">B125</f>
        <v>356.95325500000001</v>
      </c>
      <c r="C213" s="80">
        <f>Tabla11617212741125[[#This Row],[Balanza Comercial Absoluta USA
(US$ millones)]]/2</f>
        <v>178.47662750000001</v>
      </c>
      <c r="D213" s="5">
        <v>6174.0429999999997</v>
      </c>
      <c r="E213" s="43">
        <f t="shared" ref="E213:E237" si="12">(C213/D213)/10000</f>
        <v>2.8907577660213899E-6</v>
      </c>
    </row>
    <row r="214" spans="1:10" x14ac:dyDescent="0.25">
      <c r="A214" s="31">
        <v>1992</v>
      </c>
      <c r="B214" s="80">
        <f t="shared" si="11"/>
        <v>375.22349200000002</v>
      </c>
      <c r="C214" s="80">
        <f>Tabla11617212741125[[#This Row],[Balanza Comercial Absoluta USA
(US$ millones)]]/2</f>
        <v>187.61174600000001</v>
      </c>
      <c r="D214" s="5">
        <v>6539.299</v>
      </c>
      <c r="E214" s="43">
        <f t="shared" si="12"/>
        <v>2.8689886484774592E-6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80">
        <f t="shared" si="11"/>
        <v>237.70677699999999</v>
      </c>
      <c r="C215" s="80">
        <f>Tabla11617212741125[[#This Row],[Balanza Comercial Absoluta USA
(US$ millones)]]/2</f>
        <v>118.85338849999999</v>
      </c>
      <c r="D215" s="5">
        <v>6878.7179999999998</v>
      </c>
      <c r="E215" s="43">
        <f t="shared" si="12"/>
        <v>1.7278421429690823E-6</v>
      </c>
    </row>
    <row r="216" spans="1:10" x14ac:dyDescent="0.25">
      <c r="A216" s="31">
        <v>1994</v>
      </c>
      <c r="B216" s="80">
        <f t="shared" si="11"/>
        <v>364.10657600000002</v>
      </c>
      <c r="C216" s="80">
        <f>Tabla11617212741125[[#This Row],[Balanza Comercial Absoluta USA
(US$ millones)]]/2</f>
        <v>182.05328800000001</v>
      </c>
      <c r="D216" s="5">
        <v>7308.7550000000001</v>
      </c>
      <c r="E216" s="43">
        <f t="shared" si="12"/>
        <v>2.4908932916755317E-6</v>
      </c>
    </row>
    <row r="217" spans="1:10" x14ac:dyDescent="0.25">
      <c r="A217" s="31">
        <v>1995</v>
      </c>
      <c r="B217" s="80">
        <f t="shared" si="11"/>
        <v>416.73512799999997</v>
      </c>
      <c r="C217" s="80">
        <f>Tabla11617212741125[[#This Row],[Balanza Comercial Absoluta USA
(US$ millones)]]/2</f>
        <v>208.36756399999999</v>
      </c>
      <c r="D217" s="5">
        <v>7664.06</v>
      </c>
      <c r="E217" s="43">
        <f t="shared" si="12"/>
        <v>2.7187621704422981E-6</v>
      </c>
    </row>
    <row r="218" spans="1:10" x14ac:dyDescent="0.25">
      <c r="A218" s="31">
        <v>1996</v>
      </c>
      <c r="B218" s="80">
        <f t="shared" si="11"/>
        <v>414.56091800000002</v>
      </c>
      <c r="C218" s="80">
        <f>Tabla11617212741125[[#This Row],[Balanza Comercial Absoluta USA
(US$ millones)]]/2</f>
        <v>207.28045900000001</v>
      </c>
      <c r="D218" s="5">
        <v>8100.201</v>
      </c>
      <c r="E218" s="43">
        <f t="shared" si="12"/>
        <v>2.5589545123633353E-6</v>
      </c>
    </row>
    <row r="219" spans="1:10" x14ac:dyDescent="0.25">
      <c r="A219" s="31">
        <v>1997</v>
      </c>
      <c r="B219" s="80">
        <f t="shared" si="11"/>
        <v>705.07615199999998</v>
      </c>
      <c r="C219" s="80">
        <f>Tabla11617212741125[[#This Row],[Balanza Comercial Absoluta USA
(US$ millones)]]/2</f>
        <v>352.53807599999999</v>
      </c>
      <c r="D219" s="5">
        <v>8608.5149999999994</v>
      </c>
      <c r="E219" s="43">
        <f t="shared" si="12"/>
        <v>4.0952252043470918E-6</v>
      </c>
    </row>
    <row r="220" spans="1:10" x14ac:dyDescent="0.25">
      <c r="A220" s="31">
        <v>1998</v>
      </c>
      <c r="B220" s="80">
        <f t="shared" si="11"/>
        <v>574.91945999999996</v>
      </c>
      <c r="C220" s="80">
        <f>Tabla11617212741125[[#This Row],[Balanza Comercial Absoluta USA
(US$ millones)]]/2</f>
        <v>287.45972999999998</v>
      </c>
      <c r="D220" s="5">
        <v>9089.1679999999997</v>
      </c>
      <c r="E220" s="43">
        <f t="shared" si="12"/>
        <v>3.1626627431685713E-6</v>
      </c>
    </row>
    <row r="221" spans="1:10" x14ac:dyDescent="0.25">
      <c r="A221" s="31">
        <v>1999</v>
      </c>
      <c r="B221" s="80">
        <f t="shared" si="11"/>
        <v>470.62626899999998</v>
      </c>
      <c r="C221" s="80">
        <f>Tabla11617212741125[[#This Row],[Balanza Comercial Absoluta USA
(US$ millones)]]/2</f>
        <v>235.31313449999999</v>
      </c>
      <c r="D221" s="5">
        <v>9660.6239999999998</v>
      </c>
      <c r="E221" s="43">
        <f t="shared" si="12"/>
        <v>2.4357964299200549E-6</v>
      </c>
    </row>
    <row r="222" spans="1:10" x14ac:dyDescent="0.25">
      <c r="A222" s="31">
        <v>2000</v>
      </c>
      <c r="B222" s="80">
        <f t="shared" si="11"/>
        <v>390.75227100000001</v>
      </c>
      <c r="C222" s="80">
        <f>Tabla11617212741125[[#This Row],[Balanza Comercial Absoluta USA
(US$ millones)]]/2</f>
        <v>195.3761355</v>
      </c>
      <c r="D222" s="5">
        <v>10284.779</v>
      </c>
      <c r="E222" s="43">
        <f t="shared" si="12"/>
        <v>1.8996629436568348E-6</v>
      </c>
    </row>
    <row r="223" spans="1:10" x14ac:dyDescent="0.25">
      <c r="A223" s="31">
        <v>2001</v>
      </c>
      <c r="B223" s="80">
        <f t="shared" si="11"/>
        <v>281.36294800000002</v>
      </c>
      <c r="C223" s="80">
        <f>Tabla11617212741125[[#This Row],[Balanza Comercial Absoluta USA
(US$ millones)]]/2</f>
        <v>140.68147400000001</v>
      </c>
      <c r="D223" s="5">
        <v>10621.824000000001</v>
      </c>
      <c r="E223" s="43">
        <f t="shared" si="12"/>
        <v>1.3244568352855405E-6</v>
      </c>
    </row>
    <row r="224" spans="1:10" x14ac:dyDescent="0.25">
      <c r="A224" s="31">
        <v>2002</v>
      </c>
      <c r="B224" s="80">
        <f t="shared" si="11"/>
        <v>299.72891200000004</v>
      </c>
      <c r="C224" s="80">
        <f>Tabla11617212741125[[#This Row],[Balanza Comercial Absoluta USA
(US$ millones)]]/2</f>
        <v>149.86445600000002</v>
      </c>
      <c r="D224" s="5">
        <v>10977.513999999999</v>
      </c>
      <c r="E224" s="43">
        <f t="shared" si="12"/>
        <v>1.3651948519491755E-6</v>
      </c>
    </row>
    <row r="225" spans="1:5" x14ac:dyDescent="0.25">
      <c r="A225" s="31">
        <v>2003</v>
      </c>
      <c r="B225" s="80">
        <f t="shared" si="11"/>
        <v>327.14183700000001</v>
      </c>
      <c r="C225" s="80">
        <f>Tabla11617212741125[[#This Row],[Balanza Comercial Absoluta USA
(US$ millones)]]/2</f>
        <v>163.5709185</v>
      </c>
      <c r="D225" s="5">
        <v>11510.67</v>
      </c>
      <c r="E225" s="43">
        <f t="shared" si="12"/>
        <v>1.4210373375311776E-6</v>
      </c>
    </row>
    <row r="226" spans="1:5" x14ac:dyDescent="0.25">
      <c r="A226" s="31">
        <v>2004</v>
      </c>
      <c r="B226" s="80">
        <f t="shared" si="11"/>
        <v>383.77491300000003</v>
      </c>
      <c r="C226" s="80">
        <f>Tabla11617212741125[[#This Row],[Balanza Comercial Absoluta USA
(US$ millones)]]/2</f>
        <v>191.88745650000001</v>
      </c>
      <c r="D226" s="5">
        <v>12274.928</v>
      </c>
      <c r="E226" s="43">
        <f t="shared" si="12"/>
        <v>1.5632471041785337E-6</v>
      </c>
    </row>
    <row r="227" spans="1:5" x14ac:dyDescent="0.25">
      <c r="A227" s="31">
        <v>2005</v>
      </c>
      <c r="B227" s="80">
        <f t="shared" si="11"/>
        <v>589.72288800000001</v>
      </c>
      <c r="C227" s="80">
        <f>Tabla11617212741125[[#This Row],[Balanza Comercial Absoluta USA
(US$ millones)]]/2</f>
        <v>294.86144400000001</v>
      </c>
      <c r="D227" s="5">
        <v>13093.726000000001</v>
      </c>
      <c r="E227" s="43">
        <f t="shared" si="12"/>
        <v>2.2519292369490548E-6</v>
      </c>
    </row>
    <row r="228" spans="1:5" x14ac:dyDescent="0.25">
      <c r="A228" s="31">
        <v>2006</v>
      </c>
      <c r="B228" s="80">
        <f t="shared" si="11"/>
        <v>584.81026599999996</v>
      </c>
      <c r="C228" s="80">
        <f>Tabla11617212741125[[#This Row],[Balanza Comercial Absoluta USA
(US$ millones)]]/2</f>
        <v>292.40513299999998</v>
      </c>
      <c r="D228" s="5">
        <v>13855.888000000001</v>
      </c>
      <c r="E228" s="43">
        <f t="shared" si="12"/>
        <v>2.110331239686695E-6</v>
      </c>
    </row>
    <row r="229" spans="1:5" x14ac:dyDescent="0.25">
      <c r="A229" s="31">
        <v>2007</v>
      </c>
      <c r="B229" s="80">
        <f t="shared" si="11"/>
        <v>661.88992400000006</v>
      </c>
      <c r="C229" s="80">
        <f>Tabla11617212741125[[#This Row],[Balanza Comercial Absoluta USA
(US$ millones)]]/2</f>
        <v>330.94496200000003</v>
      </c>
      <c r="D229" s="5">
        <v>14477.635</v>
      </c>
      <c r="E229" s="43">
        <f t="shared" si="12"/>
        <v>2.2859048594608168E-6</v>
      </c>
    </row>
    <row r="230" spans="1:5" x14ac:dyDescent="0.25">
      <c r="A230" s="31">
        <v>2008</v>
      </c>
      <c r="B230" s="80">
        <f t="shared" si="11"/>
        <v>789.53349500000002</v>
      </c>
      <c r="C230" s="80">
        <f>Tabla11617212741125[[#This Row],[Balanza Comercial Absoluta USA
(US$ millones)]]/2</f>
        <v>394.76674750000001</v>
      </c>
      <c r="D230" s="5">
        <v>14718.582</v>
      </c>
      <c r="E230" s="43">
        <f t="shared" si="12"/>
        <v>2.6820976878071541E-6</v>
      </c>
    </row>
    <row r="231" spans="1:5" x14ac:dyDescent="0.25">
      <c r="A231" s="31">
        <v>2009</v>
      </c>
      <c r="B231" s="80">
        <f t="shared" si="11"/>
        <v>771.74862999999993</v>
      </c>
      <c r="C231" s="80">
        <f>Tabla11617212741125[[#This Row],[Balanza Comercial Absoluta USA
(US$ millones)]]/2</f>
        <v>385.87431499999997</v>
      </c>
      <c r="D231" s="5">
        <v>14418.739</v>
      </c>
      <c r="E231" s="43">
        <f t="shared" si="12"/>
        <v>2.6762001517608441E-6</v>
      </c>
    </row>
    <row r="232" spans="1:5" x14ac:dyDescent="0.25">
      <c r="A232" s="31">
        <v>2010</v>
      </c>
      <c r="B232" s="80">
        <f t="shared" si="11"/>
        <v>885.08941900000002</v>
      </c>
      <c r="C232" s="80">
        <f>Tabla11617212741125[[#This Row],[Balanza Comercial Absoluta USA
(US$ millones)]]/2</f>
        <v>442.54470950000001</v>
      </c>
      <c r="D232" s="5">
        <v>14964.371999999999</v>
      </c>
      <c r="E232" s="43">
        <f t="shared" si="12"/>
        <v>2.9573222952490092E-6</v>
      </c>
    </row>
    <row r="233" spans="1:5" x14ac:dyDescent="0.25">
      <c r="A233" s="31">
        <v>2011</v>
      </c>
      <c r="B233" s="80">
        <f t="shared" si="11"/>
        <v>1260.31934</v>
      </c>
      <c r="C233" s="80">
        <f>Tabla11617212741125[[#This Row],[Balanza Comercial Absoluta USA
(US$ millones)]]/2</f>
        <v>630.15967000000001</v>
      </c>
      <c r="D233" s="5">
        <v>15517.925999999999</v>
      </c>
      <c r="E233" s="43">
        <f t="shared" si="12"/>
        <v>4.0608498197503972E-6</v>
      </c>
    </row>
    <row r="234" spans="1:5" x14ac:dyDescent="0.25">
      <c r="A234" s="31">
        <v>2012</v>
      </c>
      <c r="B234" s="80">
        <f t="shared" si="11"/>
        <v>938.820425</v>
      </c>
      <c r="C234" s="80">
        <f>Tabla11617212741125[[#This Row],[Balanza Comercial Absoluta USA
(US$ millones)]]/2</f>
        <v>469.4102125</v>
      </c>
      <c r="D234" s="5">
        <v>16155.254999999999</v>
      </c>
      <c r="E234" s="43">
        <f t="shared" si="12"/>
        <v>2.9056193325329747E-6</v>
      </c>
    </row>
    <row r="235" spans="1:5" x14ac:dyDescent="0.25">
      <c r="A235" s="31">
        <v>2013</v>
      </c>
      <c r="B235" s="80">
        <f t="shared" si="11"/>
        <v>989.38817500000005</v>
      </c>
      <c r="C235" s="80">
        <f>Tabla11617212741125[[#This Row],[Balanza Comercial Absoluta USA
(US$ millones)]]/2</f>
        <v>494.69408750000002</v>
      </c>
      <c r="D235" s="5">
        <v>16663.16</v>
      </c>
      <c r="E235" s="43">
        <f t="shared" si="12"/>
        <v>2.9687891582388935E-6</v>
      </c>
    </row>
    <row r="236" spans="1:5" x14ac:dyDescent="0.25">
      <c r="A236" s="31">
        <v>2014</v>
      </c>
      <c r="B236" s="80">
        <f t="shared" si="11"/>
        <v>1169.1284840000001</v>
      </c>
      <c r="C236" s="80">
        <f>Tabla11617212741125[[#This Row],[Balanza Comercial Absoluta USA
(US$ millones)]]/2</f>
        <v>584.56424200000004</v>
      </c>
      <c r="D236" s="5">
        <v>17348.071499999998</v>
      </c>
      <c r="E236" s="43">
        <f t="shared" si="12"/>
        <v>3.369620894172589E-6</v>
      </c>
    </row>
    <row r="237" spans="1:5" x14ac:dyDescent="0.25">
      <c r="A237" s="31">
        <v>2015</v>
      </c>
      <c r="B237" s="80">
        <f t="shared" si="11"/>
        <v>1203.9165170000001</v>
      </c>
      <c r="C237" s="80">
        <f>Tabla11617212741125[[#This Row],[Balanza Comercial Absoluta USA
(US$ millones)]]/2</f>
        <v>601.95825850000006</v>
      </c>
      <c r="D237" s="5">
        <v>17946.995999999999</v>
      </c>
      <c r="E237" s="43">
        <f t="shared" si="12"/>
        <v>3.3540892219511282E-6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16" zoomScale="80" zoomScaleNormal="80" workbookViewId="0">
      <selection activeCell="D6" sqref="D6:D30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30</v>
      </c>
    </row>
    <row r="4" spans="1:10" x14ac:dyDescent="0.25">
      <c r="A4" s="134" t="s">
        <v>31</v>
      </c>
      <c r="B4" s="134"/>
      <c r="C4" s="134"/>
      <c r="D4" s="134"/>
    </row>
    <row r="5" spans="1:10" ht="60" x14ac:dyDescent="0.25">
      <c r="A5" s="116" t="s">
        <v>3</v>
      </c>
      <c r="B5" s="34" t="s">
        <v>13</v>
      </c>
      <c r="C5" s="34" t="s">
        <v>68</v>
      </c>
      <c r="D5" s="34" t="s">
        <v>38</v>
      </c>
    </row>
    <row r="6" spans="1:10" x14ac:dyDescent="0.25">
      <c r="A6" s="37">
        <v>1991</v>
      </c>
      <c r="B6" s="69">
        <f>'Export 07'!B2</f>
        <v>356.33337599999999</v>
      </c>
      <c r="C6" s="39">
        <v>34830570</v>
      </c>
      <c r="D6" s="35">
        <f t="shared" ref="D6:D30" si="0">(B6*1000000/C6)</f>
        <v>10.230477881929581</v>
      </c>
      <c r="F6" s="7" t="s">
        <v>69</v>
      </c>
      <c r="I6" s="1" t="s">
        <v>10</v>
      </c>
      <c r="J6" s="7" t="s">
        <v>70</v>
      </c>
    </row>
    <row r="7" spans="1:10" x14ac:dyDescent="0.25">
      <c r="A7" s="38">
        <v>1992</v>
      </c>
      <c r="B7" s="69">
        <f>'Export 07'!B3</f>
        <v>373.66137600000002</v>
      </c>
      <c r="C7" s="40">
        <v>35520940</v>
      </c>
      <c r="D7" s="35">
        <f t="shared" si="0"/>
        <v>10.51946755913554</v>
      </c>
    </row>
    <row r="8" spans="1:10" x14ac:dyDescent="0.25">
      <c r="A8" s="37">
        <v>1993</v>
      </c>
      <c r="B8" s="69">
        <f>'Export 07'!B4</f>
        <v>235.826752</v>
      </c>
      <c r="C8" s="39">
        <v>36207108</v>
      </c>
      <c r="D8" s="35">
        <f t="shared" si="0"/>
        <v>6.5132722558233596</v>
      </c>
    </row>
    <row r="9" spans="1:10" x14ac:dyDescent="0.25">
      <c r="A9" s="38">
        <v>1994</v>
      </c>
      <c r="B9" s="69">
        <f>'Export 07'!B5</f>
        <v>362.19535999999999</v>
      </c>
      <c r="C9" s="40">
        <v>36853905</v>
      </c>
      <c r="D9" s="35">
        <f t="shared" si="0"/>
        <v>9.8278692583594598</v>
      </c>
    </row>
    <row r="10" spans="1:10" x14ac:dyDescent="0.25">
      <c r="A10" s="37">
        <v>1995</v>
      </c>
      <c r="B10" s="69">
        <f>'Export 07'!B6</f>
        <v>414.26508799999999</v>
      </c>
      <c r="C10" s="39">
        <v>37472184</v>
      </c>
      <c r="D10" s="35">
        <f t="shared" si="0"/>
        <v>11.055269369941181</v>
      </c>
    </row>
    <row r="11" spans="1:10" x14ac:dyDescent="0.25">
      <c r="A11" s="38">
        <v>1996</v>
      </c>
      <c r="B11" s="69">
        <f>'Export 07'!B7</f>
        <v>412.33942400000001</v>
      </c>
      <c r="C11" s="40">
        <v>38068050</v>
      </c>
      <c r="D11" s="35">
        <f t="shared" si="0"/>
        <v>10.831640286276812</v>
      </c>
    </row>
    <row r="12" spans="1:10" x14ac:dyDescent="0.25">
      <c r="A12" s="37">
        <v>1997</v>
      </c>
      <c r="B12" s="69">
        <f>'Export 07'!B8</f>
        <v>703.16601600000001</v>
      </c>
      <c r="C12" s="39">
        <v>38635691</v>
      </c>
      <c r="D12" s="35">
        <f t="shared" si="0"/>
        <v>18.199907852042816</v>
      </c>
    </row>
    <row r="13" spans="1:10" x14ac:dyDescent="0.25">
      <c r="A13" s="38">
        <v>1998</v>
      </c>
      <c r="B13" s="69">
        <f>'Export 07'!B9</f>
        <v>572.62649599999997</v>
      </c>
      <c r="C13" s="40">
        <v>39184456</v>
      </c>
      <c r="D13" s="35">
        <f t="shared" si="0"/>
        <v>14.613613520626648</v>
      </c>
    </row>
    <row r="14" spans="1:10" x14ac:dyDescent="0.25">
      <c r="A14" s="37">
        <v>1999</v>
      </c>
      <c r="B14" s="69">
        <f>'Export 07'!B10</f>
        <v>469.02096</v>
      </c>
      <c r="C14" s="39">
        <v>39730798</v>
      </c>
      <c r="D14" s="35">
        <f t="shared" si="0"/>
        <v>11.804972052159638</v>
      </c>
    </row>
    <row r="15" spans="1:10" x14ac:dyDescent="0.25">
      <c r="A15" s="38">
        <v>2000</v>
      </c>
      <c r="B15" s="69">
        <f>'Export 07'!B11</f>
        <v>389.229713</v>
      </c>
      <c r="C15" s="40">
        <v>40295563</v>
      </c>
      <c r="D15" s="35">
        <f t="shared" si="0"/>
        <v>9.659369022837577</v>
      </c>
    </row>
    <row r="16" spans="1:10" x14ac:dyDescent="0.25">
      <c r="A16" s="37">
        <v>2001</v>
      </c>
      <c r="B16" s="69">
        <f>'Export 07'!B12</f>
        <v>279.14183400000002</v>
      </c>
      <c r="C16" s="39">
        <v>40813541</v>
      </c>
      <c r="D16" s="35">
        <f t="shared" si="0"/>
        <v>6.8394416941181362</v>
      </c>
    </row>
    <row r="17" spans="1:4" x14ac:dyDescent="0.25">
      <c r="A17" s="38">
        <v>2002</v>
      </c>
      <c r="B17" s="69">
        <f>'Export 07'!B13</f>
        <v>296.84640100000001</v>
      </c>
      <c r="C17" s="40">
        <v>41328824</v>
      </c>
      <c r="D17" s="35">
        <f t="shared" si="0"/>
        <v>7.1825513593128125</v>
      </c>
    </row>
    <row r="18" spans="1:4" x14ac:dyDescent="0.25">
      <c r="A18" s="37">
        <v>2003</v>
      </c>
      <c r="B18" s="69">
        <f>'Export 07'!B14</f>
        <v>324.63494900000001</v>
      </c>
      <c r="C18" s="39">
        <v>41848959</v>
      </c>
      <c r="D18" s="35">
        <f t="shared" si="0"/>
        <v>7.7573004623603659</v>
      </c>
    </row>
    <row r="19" spans="1:4" x14ac:dyDescent="0.25">
      <c r="A19" s="38">
        <v>2004</v>
      </c>
      <c r="B19" s="69">
        <f>'Export 07'!B15</f>
        <v>380.21622500000001</v>
      </c>
      <c r="C19" s="40">
        <v>42368489</v>
      </c>
      <c r="D19" s="35">
        <f t="shared" si="0"/>
        <v>8.9740331546872021</v>
      </c>
    </row>
    <row r="20" spans="1:4" x14ac:dyDescent="0.25">
      <c r="A20" s="37">
        <v>2005</v>
      </c>
      <c r="B20" s="69">
        <f>'Export 07'!B16</f>
        <v>586.29403300000001</v>
      </c>
      <c r="C20" s="39">
        <v>42888592</v>
      </c>
      <c r="D20" s="35">
        <f t="shared" si="0"/>
        <v>13.670162755634411</v>
      </c>
    </row>
    <row r="21" spans="1:4" x14ac:dyDescent="0.25">
      <c r="A21" s="38">
        <v>2006</v>
      </c>
      <c r="B21" s="69">
        <f>'Export 07'!B17</f>
        <v>579.43696</v>
      </c>
      <c r="C21" s="40">
        <v>43405956</v>
      </c>
      <c r="D21" s="35">
        <f t="shared" si="0"/>
        <v>13.34925004301253</v>
      </c>
    </row>
    <row r="22" spans="1:4" x14ac:dyDescent="0.25">
      <c r="A22" s="37">
        <v>2007</v>
      </c>
      <c r="B22" s="69">
        <f>'Export 07'!B18</f>
        <v>658.19860600000004</v>
      </c>
      <c r="C22" s="39">
        <v>43926929</v>
      </c>
      <c r="D22" s="35">
        <f t="shared" si="0"/>
        <v>14.983943129737114</v>
      </c>
    </row>
    <row r="23" spans="1:4" x14ac:dyDescent="0.25">
      <c r="A23" s="38">
        <v>2008</v>
      </c>
      <c r="B23" s="69">
        <f>'Export 07'!B19</f>
        <v>784.02828799999997</v>
      </c>
      <c r="C23" s="40">
        <v>44451147</v>
      </c>
      <c r="D23" s="35">
        <f t="shared" si="0"/>
        <v>17.637976540852815</v>
      </c>
    </row>
    <row r="24" spans="1:4" x14ac:dyDescent="0.25">
      <c r="A24" s="37">
        <v>2009</v>
      </c>
      <c r="B24" s="69">
        <f>'Export 07'!B20</f>
        <v>767.05405399999995</v>
      </c>
      <c r="C24" s="39">
        <v>44978832</v>
      </c>
      <c r="D24" s="35">
        <f t="shared" si="0"/>
        <v>17.053667689725692</v>
      </c>
    </row>
    <row r="25" spans="1:4" x14ac:dyDescent="0.25">
      <c r="A25" s="38">
        <v>2010</v>
      </c>
      <c r="B25" s="69">
        <f>'Export 07'!B21</f>
        <v>879.24043200000006</v>
      </c>
      <c r="C25" s="40">
        <v>45509584</v>
      </c>
      <c r="D25" s="35">
        <f t="shared" si="0"/>
        <v>19.319896046511872</v>
      </c>
    </row>
    <row r="26" spans="1:4" x14ac:dyDescent="0.25">
      <c r="A26" s="37">
        <v>2011</v>
      </c>
      <c r="B26" s="69">
        <f>'Export 07'!B22</f>
        <v>1253.501368</v>
      </c>
      <c r="C26" s="39">
        <v>46044601</v>
      </c>
      <c r="D26" s="35">
        <f t="shared" si="0"/>
        <v>27.223634058638059</v>
      </c>
    </row>
    <row r="27" spans="1:4" x14ac:dyDescent="0.25">
      <c r="A27" s="38">
        <v>2012</v>
      </c>
      <c r="B27" s="69">
        <f>'Export 07'!B23</f>
        <v>925.35675600000002</v>
      </c>
      <c r="C27" s="40">
        <v>46581823</v>
      </c>
      <c r="D27" s="35">
        <f t="shared" si="0"/>
        <v>19.865189818784035</v>
      </c>
    </row>
    <row r="28" spans="1:4" x14ac:dyDescent="0.25">
      <c r="A28" s="37">
        <v>2013</v>
      </c>
      <c r="B28" s="69">
        <f>'Export 07'!B24</f>
        <v>959.63503200000002</v>
      </c>
      <c r="C28" s="39">
        <v>47121089</v>
      </c>
      <c r="D28" s="35">
        <f t="shared" si="0"/>
        <v>20.365298263798614</v>
      </c>
    </row>
    <row r="29" spans="1:4" x14ac:dyDescent="0.25">
      <c r="A29" s="38">
        <v>2014</v>
      </c>
      <c r="B29" s="69">
        <f>'Export 07'!B25</f>
        <v>1138.514244</v>
      </c>
      <c r="C29" s="40">
        <v>47661787</v>
      </c>
      <c r="D29" s="35">
        <f t="shared" si="0"/>
        <v>23.887359573823783</v>
      </c>
    </row>
    <row r="30" spans="1:4" x14ac:dyDescent="0.25">
      <c r="A30" s="37">
        <v>2015</v>
      </c>
      <c r="B30" s="69">
        <f>'Export 07'!B26</f>
        <v>1178.3594880000001</v>
      </c>
      <c r="C30" s="39">
        <v>48203405</v>
      </c>
      <c r="D30" s="35">
        <f t="shared" si="0"/>
        <v>24.445565370330165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116" t="s">
        <v>3</v>
      </c>
      <c r="B35" s="34" t="s">
        <v>33</v>
      </c>
      <c r="C35" s="34" t="s">
        <v>68</v>
      </c>
      <c r="D35" s="34" t="s">
        <v>129</v>
      </c>
    </row>
    <row r="36" spans="1:10" x14ac:dyDescent="0.25">
      <c r="A36" s="37">
        <v>1991</v>
      </c>
      <c r="B36" s="69">
        <f>'Import 07'!B2</f>
        <v>0.61987899999999996</v>
      </c>
      <c r="C36" s="39">
        <v>34830570</v>
      </c>
      <c r="D36" s="35">
        <f t="shared" ref="D36:D60" si="1">(B36/C36)*1000000</f>
        <v>1.779698121506481E-2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69">
        <f>'Import 07'!B3</f>
        <v>1.5621160000000001</v>
      </c>
      <c r="C37" s="40">
        <v>35520940</v>
      </c>
      <c r="D37" s="35">
        <f t="shared" si="1"/>
        <v>4.3977327176589365E-2</v>
      </c>
    </row>
    <row r="38" spans="1:10" x14ac:dyDescent="0.25">
      <c r="A38" s="37">
        <v>1993</v>
      </c>
      <c r="B38" s="69">
        <f>'Import 07'!B4</f>
        <v>1.8800250000000001</v>
      </c>
      <c r="C38" s="39">
        <v>36207108</v>
      </c>
      <c r="D38" s="35">
        <f t="shared" si="1"/>
        <v>5.1924196762690909E-2</v>
      </c>
    </row>
    <row r="39" spans="1:10" x14ac:dyDescent="0.25">
      <c r="A39" s="38">
        <v>1994</v>
      </c>
      <c r="B39" s="69">
        <f>'Import 07'!B5</f>
        <v>1.911216</v>
      </c>
      <c r="C39" s="40">
        <v>36853905</v>
      </c>
      <c r="D39" s="35">
        <f t="shared" si="1"/>
        <v>5.1859253449532683E-2</v>
      </c>
    </row>
    <row r="40" spans="1:10" x14ac:dyDescent="0.25">
      <c r="A40" s="37">
        <v>1995</v>
      </c>
      <c r="B40" s="69">
        <f>'Import 07'!B6</f>
        <v>2.47004</v>
      </c>
      <c r="C40" s="39">
        <v>37472184</v>
      </c>
      <c r="D40" s="35">
        <f t="shared" si="1"/>
        <v>6.5916627651059781E-2</v>
      </c>
    </row>
    <row r="41" spans="1:10" x14ac:dyDescent="0.25">
      <c r="A41" s="38">
        <v>1996</v>
      </c>
      <c r="B41" s="69">
        <f>'Import 07'!B7</f>
        <v>2.2214939999999999</v>
      </c>
      <c r="C41" s="40">
        <v>38068050</v>
      </c>
      <c r="D41" s="35">
        <f t="shared" si="1"/>
        <v>5.8355865351653158E-2</v>
      </c>
    </row>
    <row r="42" spans="1:10" x14ac:dyDescent="0.25">
      <c r="A42" s="37">
        <v>1997</v>
      </c>
      <c r="B42" s="69">
        <f>'Import 07'!B8</f>
        <v>1.9101360000000001</v>
      </c>
      <c r="C42" s="39">
        <v>38635691</v>
      </c>
      <c r="D42" s="35">
        <f t="shared" si="1"/>
        <v>4.9439674833303748E-2</v>
      </c>
    </row>
    <row r="43" spans="1:10" x14ac:dyDescent="0.25">
      <c r="A43" s="38">
        <v>1998</v>
      </c>
      <c r="B43" s="69">
        <f>'Import 07'!B9</f>
        <v>2.292964</v>
      </c>
      <c r="C43" s="40">
        <v>39184456</v>
      </c>
      <c r="D43" s="35">
        <f t="shared" si="1"/>
        <v>5.8517183446415585E-2</v>
      </c>
    </row>
    <row r="44" spans="1:10" x14ac:dyDescent="0.25">
      <c r="A44" s="37">
        <v>1999</v>
      </c>
      <c r="B44" s="69">
        <f>'Import 07'!B10</f>
        <v>1.6053090000000001</v>
      </c>
      <c r="C44" s="39">
        <v>39730798</v>
      </c>
      <c r="D44" s="35">
        <f t="shared" si="1"/>
        <v>4.0404650316865021E-2</v>
      </c>
    </row>
    <row r="45" spans="1:10" x14ac:dyDescent="0.25">
      <c r="A45" s="38">
        <v>2000</v>
      </c>
      <c r="B45" s="69">
        <f>'Import 07'!B11</f>
        <v>1.5225580000000001</v>
      </c>
      <c r="C45" s="40">
        <v>40295563</v>
      </c>
      <c r="D45" s="35">
        <f t="shared" si="1"/>
        <v>3.7784755606963476E-2</v>
      </c>
    </row>
    <row r="46" spans="1:10" x14ac:dyDescent="0.25">
      <c r="A46" s="37">
        <v>2001</v>
      </c>
      <c r="B46" s="69">
        <f>'Import 07'!B12</f>
        <v>2.221114</v>
      </c>
      <c r="C46" s="39">
        <v>40813541</v>
      </c>
      <c r="D46" s="35">
        <f t="shared" si="1"/>
        <v>5.4421006988832461E-2</v>
      </c>
    </row>
    <row r="47" spans="1:10" x14ac:dyDescent="0.25">
      <c r="A47" s="38">
        <v>2002</v>
      </c>
      <c r="B47" s="69">
        <f>'Import 07'!B13</f>
        <v>2.882511</v>
      </c>
      <c r="C47" s="40">
        <v>41328824</v>
      </c>
      <c r="D47" s="35">
        <f t="shared" si="1"/>
        <v>6.9745778394275149E-2</v>
      </c>
    </row>
    <row r="48" spans="1:10" x14ac:dyDescent="0.25">
      <c r="A48" s="37">
        <v>2003</v>
      </c>
      <c r="B48" s="69">
        <f>'Import 07'!B14</f>
        <v>2.506888</v>
      </c>
      <c r="C48" s="39">
        <v>41848959</v>
      </c>
      <c r="D48" s="35">
        <f t="shared" si="1"/>
        <v>5.9903234391087239E-2</v>
      </c>
    </row>
    <row r="49" spans="1:4" x14ac:dyDescent="0.25">
      <c r="A49" s="38">
        <v>2004</v>
      </c>
      <c r="B49" s="69">
        <f>'Import 07'!B15</f>
        <v>3.5586880000000001</v>
      </c>
      <c r="C49" s="40">
        <v>42368489</v>
      </c>
      <c r="D49" s="35">
        <f t="shared" si="1"/>
        <v>8.3993743557859712E-2</v>
      </c>
    </row>
    <row r="50" spans="1:4" x14ac:dyDescent="0.25">
      <c r="A50" s="37">
        <v>2005</v>
      </c>
      <c r="B50" s="69">
        <f>'Import 07'!B16</f>
        <v>3.428855</v>
      </c>
      <c r="C50" s="39">
        <v>42888592</v>
      </c>
      <c r="D50" s="35">
        <f t="shared" si="1"/>
        <v>7.9947949795134338E-2</v>
      </c>
    </row>
    <row r="51" spans="1:4" x14ac:dyDescent="0.25">
      <c r="A51" s="38">
        <v>2006</v>
      </c>
      <c r="B51" s="69">
        <f>'Import 07'!B17</f>
        <v>5.3733060000000004</v>
      </c>
      <c r="C51" s="40">
        <v>43405956</v>
      </c>
      <c r="D51" s="35">
        <f t="shared" si="1"/>
        <v>0.12379190542422334</v>
      </c>
    </row>
    <row r="52" spans="1:4" x14ac:dyDescent="0.25">
      <c r="A52" s="37">
        <v>2007</v>
      </c>
      <c r="B52" s="69">
        <f>'Import 07'!B18</f>
        <v>3.6913179999999999</v>
      </c>
      <c r="C52" s="39">
        <v>43926929</v>
      </c>
      <c r="D52" s="35">
        <f t="shared" si="1"/>
        <v>8.4033145135185755E-2</v>
      </c>
    </row>
    <row r="53" spans="1:4" x14ac:dyDescent="0.25">
      <c r="A53" s="38">
        <v>2008</v>
      </c>
      <c r="B53" s="69">
        <f>'Import 07'!B19</f>
        <v>5.5052070000000004</v>
      </c>
      <c r="C53" s="40">
        <v>44451147</v>
      </c>
      <c r="D53" s="35">
        <f t="shared" si="1"/>
        <v>0.12384848022031918</v>
      </c>
    </row>
    <row r="54" spans="1:4" x14ac:dyDescent="0.25">
      <c r="A54" s="37">
        <v>2009</v>
      </c>
      <c r="B54" s="69">
        <f>'Import 07'!B20</f>
        <v>4.6945759999999996</v>
      </c>
      <c r="C54" s="39">
        <v>44978832</v>
      </c>
      <c r="D54" s="35">
        <f t="shared" si="1"/>
        <v>0.10437300817415623</v>
      </c>
    </row>
    <row r="55" spans="1:4" x14ac:dyDescent="0.25">
      <c r="A55" s="38">
        <v>2010</v>
      </c>
      <c r="B55" s="69">
        <f>'Import 07'!B21</f>
        <v>5.8489870000000002</v>
      </c>
      <c r="C55" s="40">
        <v>45509584</v>
      </c>
      <c r="D55" s="35">
        <f t="shared" si="1"/>
        <v>0.12852209328039563</v>
      </c>
    </row>
    <row r="56" spans="1:4" x14ac:dyDescent="0.25">
      <c r="A56" s="37">
        <v>2011</v>
      </c>
      <c r="B56" s="69">
        <f>'Import 07'!B22</f>
        <v>6.8179720000000001</v>
      </c>
      <c r="C56" s="39">
        <v>46044601</v>
      </c>
      <c r="D56" s="35">
        <f t="shared" si="1"/>
        <v>0.14807321275300006</v>
      </c>
    </row>
    <row r="57" spans="1:4" x14ac:dyDescent="0.25">
      <c r="A57" s="38">
        <v>2012</v>
      </c>
      <c r="B57" s="69">
        <f>'Import 07'!B23</f>
        <v>13.463668999999999</v>
      </c>
      <c r="C57" s="40">
        <v>46581823</v>
      </c>
      <c r="D57" s="35">
        <f t="shared" si="1"/>
        <v>0.28903267697359114</v>
      </c>
    </row>
    <row r="58" spans="1:4" x14ac:dyDescent="0.25">
      <c r="A58" s="37">
        <v>2013</v>
      </c>
      <c r="B58" s="69">
        <f>'Import 07'!B24</f>
        <v>29.753143000000001</v>
      </c>
      <c r="C58" s="39">
        <v>47121089</v>
      </c>
      <c r="D58" s="35">
        <f t="shared" si="1"/>
        <v>0.63141883244676289</v>
      </c>
    </row>
    <row r="59" spans="1:4" x14ac:dyDescent="0.25">
      <c r="A59" s="38">
        <v>2014</v>
      </c>
      <c r="B59" s="69">
        <f>'Import 07'!B25</f>
        <v>30.614239999999999</v>
      </c>
      <c r="C59" s="40">
        <v>47661787</v>
      </c>
      <c r="D59" s="35">
        <f t="shared" si="1"/>
        <v>0.64232253817927554</v>
      </c>
    </row>
    <row r="60" spans="1:4" x14ac:dyDescent="0.25">
      <c r="A60" s="37">
        <v>2015</v>
      </c>
      <c r="B60" s="69">
        <f>'Import 07'!B26</f>
        <v>25.557029</v>
      </c>
      <c r="C60" s="39">
        <v>48203405</v>
      </c>
      <c r="D60" s="35">
        <f t="shared" si="1"/>
        <v>0.53019136303752812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116" t="s">
        <v>3</v>
      </c>
      <c r="B64" s="34" t="s">
        <v>65</v>
      </c>
      <c r="C64" s="34" t="s">
        <v>68</v>
      </c>
      <c r="D64" s="34" t="s">
        <v>132</v>
      </c>
    </row>
    <row r="65" spans="1:10" x14ac:dyDescent="0.25">
      <c r="A65" s="37">
        <v>1991</v>
      </c>
      <c r="B65" s="69">
        <f>'Apertura 07'!B213</f>
        <v>356.95325500000001</v>
      </c>
      <c r="C65" s="39">
        <v>34830570</v>
      </c>
      <c r="D65" s="35">
        <f t="shared" ref="D65:D89" si="2">(B65/C65)*1000000</f>
        <v>10.248274863144646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69">
        <f>'Apertura 07'!B214</f>
        <v>375.22349200000002</v>
      </c>
      <c r="C66" s="40">
        <v>35520940</v>
      </c>
      <c r="D66" s="35">
        <f t="shared" si="2"/>
        <v>10.563444886312132</v>
      </c>
    </row>
    <row r="67" spans="1:10" x14ac:dyDescent="0.25">
      <c r="A67" s="37">
        <v>1993</v>
      </c>
      <c r="B67" s="69">
        <f>'Apertura 07'!B215</f>
        <v>237.70677699999999</v>
      </c>
      <c r="C67" s="39">
        <v>36207108</v>
      </c>
      <c r="D67" s="35">
        <f t="shared" si="2"/>
        <v>6.5651964525860498</v>
      </c>
    </row>
    <row r="68" spans="1:10" x14ac:dyDescent="0.25">
      <c r="A68" s="38">
        <v>1994</v>
      </c>
      <c r="B68" s="69">
        <f>'Apertura 07'!B216</f>
        <v>364.10657600000002</v>
      </c>
      <c r="C68" s="40">
        <v>36853905</v>
      </c>
      <c r="D68" s="35">
        <f t="shared" si="2"/>
        <v>9.8797285118089935</v>
      </c>
    </row>
    <row r="69" spans="1:10" x14ac:dyDescent="0.25">
      <c r="A69" s="37">
        <v>1995</v>
      </c>
      <c r="B69" s="69">
        <f>'Apertura 07'!B217</f>
        <v>416.73512799999997</v>
      </c>
      <c r="C69" s="39">
        <v>37472184</v>
      </c>
      <c r="D69" s="35">
        <f t="shared" si="2"/>
        <v>11.12118599759224</v>
      </c>
    </row>
    <row r="70" spans="1:10" x14ac:dyDescent="0.25">
      <c r="A70" s="38">
        <v>1996</v>
      </c>
      <c r="B70" s="69">
        <f>'Apertura 07'!B218</f>
        <v>414.56091800000002</v>
      </c>
      <c r="C70" s="40">
        <v>38068050</v>
      </c>
      <c r="D70" s="35">
        <f t="shared" si="2"/>
        <v>10.889996151628466</v>
      </c>
    </row>
    <row r="71" spans="1:10" x14ac:dyDescent="0.25">
      <c r="A71" s="37">
        <v>1997</v>
      </c>
      <c r="B71" s="69">
        <f>'Apertura 07'!B219</f>
        <v>705.07615199999998</v>
      </c>
      <c r="C71" s="39">
        <v>38635691</v>
      </c>
      <c r="D71" s="35">
        <f t="shared" si="2"/>
        <v>18.249347526876118</v>
      </c>
    </row>
    <row r="72" spans="1:10" x14ac:dyDescent="0.25">
      <c r="A72" s="38">
        <v>1998</v>
      </c>
      <c r="B72" s="69">
        <f>'Apertura 07'!B220</f>
        <v>574.91945999999996</v>
      </c>
      <c r="C72" s="40">
        <v>39184456</v>
      </c>
      <c r="D72" s="35">
        <f t="shared" si="2"/>
        <v>14.672130704073062</v>
      </c>
    </row>
    <row r="73" spans="1:10" x14ac:dyDescent="0.25">
      <c r="A73" s="37">
        <v>1999</v>
      </c>
      <c r="B73" s="69">
        <f>'Apertura 07'!B221</f>
        <v>470.62626899999998</v>
      </c>
      <c r="C73" s="39">
        <v>39730798</v>
      </c>
      <c r="D73" s="35">
        <f t="shared" si="2"/>
        <v>11.845376702476502</v>
      </c>
    </row>
    <row r="74" spans="1:10" x14ac:dyDescent="0.25">
      <c r="A74" s="38">
        <v>2000</v>
      </c>
      <c r="B74" s="69">
        <f>'Apertura 07'!B222</f>
        <v>390.75227100000001</v>
      </c>
      <c r="C74" s="40">
        <v>40295563</v>
      </c>
      <c r="D74" s="35">
        <f t="shared" si="2"/>
        <v>9.6971537784445392</v>
      </c>
    </row>
    <row r="75" spans="1:10" x14ac:dyDescent="0.25">
      <c r="A75" s="37">
        <v>2001</v>
      </c>
      <c r="B75" s="69">
        <f>'Apertura 07'!B223</f>
        <v>281.36294800000002</v>
      </c>
      <c r="C75" s="39">
        <v>40813541</v>
      </c>
      <c r="D75" s="35">
        <f t="shared" si="2"/>
        <v>6.8938627011069684</v>
      </c>
    </row>
    <row r="76" spans="1:10" x14ac:dyDescent="0.25">
      <c r="A76" s="38">
        <v>2002</v>
      </c>
      <c r="B76" s="69">
        <f>'Apertura 07'!B224</f>
        <v>299.72891200000004</v>
      </c>
      <c r="C76" s="40">
        <v>41328824</v>
      </c>
      <c r="D76" s="35">
        <f t="shared" si="2"/>
        <v>7.2522971377070888</v>
      </c>
    </row>
    <row r="77" spans="1:10" x14ac:dyDescent="0.25">
      <c r="A77" s="37">
        <v>2003</v>
      </c>
      <c r="B77" s="69">
        <f>'Apertura 07'!B225</f>
        <v>327.14183700000001</v>
      </c>
      <c r="C77" s="39">
        <v>41848959</v>
      </c>
      <c r="D77" s="35">
        <f t="shared" si="2"/>
        <v>7.817203696751454</v>
      </c>
    </row>
    <row r="78" spans="1:10" x14ac:dyDescent="0.25">
      <c r="A78" s="38">
        <v>2004</v>
      </c>
      <c r="B78" s="69">
        <f>'Apertura 07'!B226</f>
        <v>383.77491300000003</v>
      </c>
      <c r="C78" s="40">
        <v>42368489</v>
      </c>
      <c r="D78" s="35">
        <f t="shared" si="2"/>
        <v>9.0580268982450622</v>
      </c>
    </row>
    <row r="79" spans="1:10" x14ac:dyDescent="0.25">
      <c r="A79" s="37">
        <v>2005</v>
      </c>
      <c r="B79" s="69">
        <f>'Apertura 07'!B227</f>
        <v>589.72288800000001</v>
      </c>
      <c r="C79" s="39">
        <v>42888592</v>
      </c>
      <c r="D79" s="35">
        <f t="shared" si="2"/>
        <v>13.750110705429547</v>
      </c>
    </row>
    <row r="80" spans="1:10" x14ac:dyDescent="0.25">
      <c r="A80" s="38">
        <v>2006</v>
      </c>
      <c r="B80" s="69">
        <f>'Apertura 07'!B228</f>
        <v>584.81026599999996</v>
      </c>
      <c r="C80" s="40">
        <v>43405956</v>
      </c>
      <c r="D80" s="35">
        <f t="shared" si="2"/>
        <v>13.473041948436752</v>
      </c>
    </row>
    <row r="81" spans="1:4" x14ac:dyDescent="0.25">
      <c r="A81" s="37">
        <v>2007</v>
      </c>
      <c r="B81" s="69">
        <f>'Apertura 07'!B229</f>
        <v>661.88992400000006</v>
      </c>
      <c r="C81" s="39">
        <v>43926929</v>
      </c>
      <c r="D81" s="35">
        <f t="shared" si="2"/>
        <v>15.067976274872301</v>
      </c>
    </row>
    <row r="82" spans="1:4" x14ac:dyDescent="0.25">
      <c r="A82" s="38">
        <v>2008</v>
      </c>
      <c r="B82" s="69">
        <f>'Apertura 07'!B230</f>
        <v>789.53349500000002</v>
      </c>
      <c r="C82" s="40">
        <v>44451147</v>
      </c>
      <c r="D82" s="35">
        <f t="shared" si="2"/>
        <v>17.761825021073136</v>
      </c>
    </row>
    <row r="83" spans="1:4" x14ac:dyDescent="0.25">
      <c r="A83" s="37">
        <v>2009</v>
      </c>
      <c r="B83" s="69">
        <f>'Apertura 07'!B231</f>
        <v>771.74862999999993</v>
      </c>
      <c r="C83" s="39">
        <v>44978832</v>
      </c>
      <c r="D83" s="35">
        <f t="shared" si="2"/>
        <v>17.158040697899846</v>
      </c>
    </row>
    <row r="84" spans="1:4" x14ac:dyDescent="0.25">
      <c r="A84" s="38">
        <v>2010</v>
      </c>
      <c r="B84" s="69">
        <f>'Apertura 07'!B232</f>
        <v>885.08941900000002</v>
      </c>
      <c r="C84" s="40">
        <v>45509584</v>
      </c>
      <c r="D84" s="35">
        <f t="shared" si="2"/>
        <v>19.44841813979227</v>
      </c>
    </row>
    <row r="85" spans="1:4" x14ac:dyDescent="0.25">
      <c r="A85" s="37">
        <v>2011</v>
      </c>
      <c r="B85" s="69">
        <f>'Apertura 07'!B233</f>
        <v>1260.31934</v>
      </c>
      <c r="C85" s="39">
        <v>46044601</v>
      </c>
      <c r="D85" s="35">
        <f t="shared" si="2"/>
        <v>27.371707271391056</v>
      </c>
    </row>
    <row r="86" spans="1:4" x14ac:dyDescent="0.25">
      <c r="A86" s="38">
        <v>2012</v>
      </c>
      <c r="B86" s="69">
        <f>'Apertura 07'!B234</f>
        <v>938.820425</v>
      </c>
      <c r="C86" s="40">
        <v>46581823</v>
      </c>
      <c r="D86" s="35">
        <f t="shared" si="2"/>
        <v>20.154222495757629</v>
      </c>
    </row>
    <row r="87" spans="1:4" x14ac:dyDescent="0.25">
      <c r="A87" s="37">
        <v>2013</v>
      </c>
      <c r="B87" s="69">
        <f>'Apertura 07'!B235</f>
        <v>989.38817500000005</v>
      </c>
      <c r="C87" s="39">
        <v>47121089</v>
      </c>
      <c r="D87" s="35">
        <f t="shared" si="2"/>
        <v>20.996717096245376</v>
      </c>
    </row>
    <row r="88" spans="1:4" x14ac:dyDescent="0.25">
      <c r="A88" s="38">
        <v>2014</v>
      </c>
      <c r="B88" s="69">
        <f>'Apertura 07'!B236</f>
        <v>1169.1284840000001</v>
      </c>
      <c r="C88" s="40">
        <v>47661787</v>
      </c>
      <c r="D88" s="35">
        <f t="shared" si="2"/>
        <v>24.529682112003062</v>
      </c>
    </row>
    <row r="89" spans="1:4" x14ac:dyDescent="0.25">
      <c r="A89" s="37">
        <v>2015</v>
      </c>
      <c r="B89" s="69">
        <f>'Apertura 07'!B237</f>
        <v>1203.9165170000001</v>
      </c>
      <c r="C89" s="39">
        <v>48203405</v>
      </c>
      <c r="D89" s="35">
        <f t="shared" si="2"/>
        <v>24.975756733367696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116" t="s">
        <v>3</v>
      </c>
      <c r="B96" s="34" t="s">
        <v>8</v>
      </c>
      <c r="C96" s="34" t="s">
        <v>35</v>
      </c>
      <c r="D96" s="34" t="s">
        <v>38</v>
      </c>
    </row>
    <row r="97" spans="1:11" x14ac:dyDescent="0.25">
      <c r="A97" s="37">
        <v>1991</v>
      </c>
      <c r="B97" s="69">
        <f t="shared" ref="B97:B121" si="3">B36</f>
        <v>0.61987899999999996</v>
      </c>
      <c r="C97" s="39">
        <v>253620000</v>
      </c>
      <c r="D97" s="68">
        <f t="shared" ref="D97:D121" si="4">(B97/C97)*1000000</f>
        <v>2.4441250690008672E-3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69">
        <f t="shared" si="3"/>
        <v>1.5621160000000001</v>
      </c>
      <c r="C98" s="40">
        <v>256516000</v>
      </c>
      <c r="D98" s="68">
        <f t="shared" si="4"/>
        <v>6.0897409908153878E-3</v>
      </c>
    </row>
    <row r="99" spans="1:11" x14ac:dyDescent="0.25">
      <c r="A99" s="37">
        <v>1993</v>
      </c>
      <c r="B99" s="69">
        <f t="shared" si="3"/>
        <v>1.8800250000000001</v>
      </c>
      <c r="C99" s="39">
        <v>259131000</v>
      </c>
      <c r="D99" s="68">
        <f t="shared" si="4"/>
        <v>7.2551142086435053E-3</v>
      </c>
    </row>
    <row r="100" spans="1:11" x14ac:dyDescent="0.25">
      <c r="A100" s="38">
        <v>1994</v>
      </c>
      <c r="B100" s="69">
        <f t="shared" si="3"/>
        <v>1.911216</v>
      </c>
      <c r="C100" s="40">
        <v>264061000</v>
      </c>
      <c r="D100" s="68">
        <f t="shared" si="4"/>
        <v>7.2377821791177041E-3</v>
      </c>
    </row>
    <row r="101" spans="1:11" x14ac:dyDescent="0.25">
      <c r="A101" s="37">
        <v>1995</v>
      </c>
      <c r="B101" s="69">
        <f t="shared" si="3"/>
        <v>2.47004</v>
      </c>
      <c r="C101" s="39">
        <v>266398000</v>
      </c>
      <c r="D101" s="68">
        <f t="shared" si="4"/>
        <v>9.271991531467955E-3</v>
      </c>
    </row>
    <row r="102" spans="1:11" x14ac:dyDescent="0.25">
      <c r="A102" s="38">
        <v>1996</v>
      </c>
      <c r="B102" s="69">
        <f t="shared" si="3"/>
        <v>2.2214939999999999</v>
      </c>
      <c r="C102" s="40">
        <v>268930000</v>
      </c>
      <c r="D102" s="68">
        <f t="shared" si="4"/>
        <v>8.2604915777339822E-3</v>
      </c>
    </row>
    <row r="103" spans="1:11" x14ac:dyDescent="0.25">
      <c r="A103" s="37">
        <v>1997</v>
      </c>
      <c r="B103" s="69">
        <f t="shared" si="3"/>
        <v>1.9101360000000001</v>
      </c>
      <c r="C103" s="39">
        <v>271387000</v>
      </c>
      <c r="D103" s="68">
        <f t="shared" si="4"/>
        <v>7.0384211476599836E-3</v>
      </c>
    </row>
    <row r="104" spans="1:11" x14ac:dyDescent="0.25">
      <c r="A104" s="38">
        <v>1998</v>
      </c>
      <c r="B104" s="69">
        <f t="shared" si="3"/>
        <v>2.292964</v>
      </c>
      <c r="C104" s="40">
        <v>271584000</v>
      </c>
      <c r="D104" s="68">
        <f t="shared" si="4"/>
        <v>8.4429274184046194E-3</v>
      </c>
    </row>
    <row r="105" spans="1:11" x14ac:dyDescent="0.25">
      <c r="A105" s="37">
        <v>1999</v>
      </c>
      <c r="B105" s="69">
        <f t="shared" si="3"/>
        <v>1.6053090000000001</v>
      </c>
      <c r="C105" s="39">
        <v>274024000</v>
      </c>
      <c r="D105" s="68">
        <f t="shared" si="4"/>
        <v>5.8582788368901993E-3</v>
      </c>
    </row>
    <row r="106" spans="1:11" x14ac:dyDescent="0.25">
      <c r="A106" s="38">
        <v>2000</v>
      </c>
      <c r="B106" s="69">
        <f t="shared" si="3"/>
        <v>1.5225580000000001</v>
      </c>
      <c r="C106" s="40">
        <v>284968955</v>
      </c>
      <c r="D106" s="68">
        <f t="shared" si="4"/>
        <v>5.3428907720842788E-3</v>
      </c>
    </row>
    <row r="107" spans="1:11" x14ac:dyDescent="0.25">
      <c r="A107" s="37">
        <v>2001</v>
      </c>
      <c r="B107" s="69">
        <f t="shared" si="3"/>
        <v>2.221114</v>
      </c>
      <c r="C107" s="39">
        <v>287625193</v>
      </c>
      <c r="D107" s="68">
        <f t="shared" si="4"/>
        <v>7.7222512285285115E-3</v>
      </c>
    </row>
    <row r="108" spans="1:11" x14ac:dyDescent="0.25">
      <c r="A108" s="38">
        <v>2002</v>
      </c>
      <c r="B108" s="69">
        <f t="shared" si="3"/>
        <v>2.882511</v>
      </c>
      <c r="C108" s="40">
        <v>290107933</v>
      </c>
      <c r="D108" s="68">
        <f t="shared" si="4"/>
        <v>9.9359950973832902E-3</v>
      </c>
    </row>
    <row r="109" spans="1:11" x14ac:dyDescent="0.25">
      <c r="A109" s="37">
        <v>2003</v>
      </c>
      <c r="B109" s="69">
        <f t="shared" si="3"/>
        <v>2.506888</v>
      </c>
      <c r="C109" s="39">
        <v>292805298</v>
      </c>
      <c r="D109" s="68">
        <f t="shared" si="4"/>
        <v>8.5616210400673819E-3</v>
      </c>
    </row>
    <row r="110" spans="1:11" x14ac:dyDescent="0.25">
      <c r="A110" s="38">
        <v>2004</v>
      </c>
      <c r="B110" s="69">
        <f t="shared" si="3"/>
        <v>3.5586880000000001</v>
      </c>
      <c r="C110" s="40">
        <v>295516599</v>
      </c>
      <c r="D110" s="68">
        <f t="shared" si="4"/>
        <v>1.2042260949274122E-2</v>
      </c>
    </row>
    <row r="111" spans="1:11" x14ac:dyDescent="0.25">
      <c r="A111" s="37">
        <v>2005</v>
      </c>
      <c r="B111" s="69">
        <f t="shared" si="3"/>
        <v>3.428855</v>
      </c>
      <c r="C111" s="39">
        <v>298379912</v>
      </c>
      <c r="D111" s="68">
        <f t="shared" si="4"/>
        <v>1.1491574540044774E-2</v>
      </c>
    </row>
    <row r="112" spans="1:11" x14ac:dyDescent="0.25">
      <c r="A112" s="38">
        <v>2006</v>
      </c>
      <c r="B112" s="69">
        <f t="shared" si="3"/>
        <v>5.3733060000000004</v>
      </c>
      <c r="C112" s="40">
        <v>301231207</v>
      </c>
      <c r="D112" s="68">
        <f t="shared" si="4"/>
        <v>1.783781319841805E-2</v>
      </c>
    </row>
    <row r="113" spans="1:11" x14ac:dyDescent="0.25">
      <c r="A113" s="37">
        <v>2007</v>
      </c>
      <c r="B113" s="69">
        <f t="shared" si="3"/>
        <v>3.6913179999999999</v>
      </c>
      <c r="C113" s="39">
        <v>304093966</v>
      </c>
      <c r="D113" s="68">
        <f t="shared" si="4"/>
        <v>1.2138741352072734E-2</v>
      </c>
    </row>
    <row r="114" spans="1:11" x14ac:dyDescent="0.25">
      <c r="A114" s="38">
        <v>2008</v>
      </c>
      <c r="B114" s="69">
        <f t="shared" si="3"/>
        <v>5.5052070000000004</v>
      </c>
      <c r="C114" s="40">
        <v>306771529</v>
      </c>
      <c r="D114" s="68">
        <f t="shared" si="4"/>
        <v>1.7945625586395276E-2</v>
      </c>
    </row>
    <row r="115" spans="1:11" x14ac:dyDescent="0.25">
      <c r="A115" s="37">
        <v>2009</v>
      </c>
      <c r="B115" s="69">
        <f t="shared" si="3"/>
        <v>4.6945759999999996</v>
      </c>
      <c r="C115" s="39">
        <v>308745538</v>
      </c>
      <c r="D115" s="68">
        <f t="shared" si="4"/>
        <v>1.5205324198077963E-2</v>
      </c>
    </row>
    <row r="116" spans="1:11" x14ac:dyDescent="0.25">
      <c r="A116" s="38">
        <v>2010</v>
      </c>
      <c r="B116" s="69">
        <f t="shared" si="3"/>
        <v>5.8489870000000002</v>
      </c>
      <c r="C116" s="40">
        <v>309347057</v>
      </c>
      <c r="D116" s="68">
        <f t="shared" si="4"/>
        <v>1.8907524308530922E-2</v>
      </c>
    </row>
    <row r="117" spans="1:11" x14ac:dyDescent="0.25">
      <c r="A117" s="37">
        <v>2011</v>
      </c>
      <c r="B117" s="69">
        <f t="shared" si="3"/>
        <v>6.8179720000000001</v>
      </c>
      <c r="C117" s="39">
        <v>311721632</v>
      </c>
      <c r="D117" s="68">
        <f t="shared" si="4"/>
        <v>2.187198865942034E-2</v>
      </c>
    </row>
    <row r="118" spans="1:11" x14ac:dyDescent="0.25">
      <c r="A118" s="38">
        <v>2012</v>
      </c>
      <c r="B118" s="69">
        <f t="shared" si="3"/>
        <v>13.463668999999999</v>
      </c>
      <c r="C118" s="40">
        <v>314112078</v>
      </c>
      <c r="D118" s="68">
        <f t="shared" si="4"/>
        <v>4.2862627523670066E-2</v>
      </c>
    </row>
    <row r="119" spans="1:11" x14ac:dyDescent="0.25">
      <c r="A119" s="37">
        <v>2013</v>
      </c>
      <c r="B119" s="69">
        <f t="shared" si="3"/>
        <v>29.753143000000001</v>
      </c>
      <c r="C119" s="39">
        <v>316497531</v>
      </c>
      <c r="D119" s="68">
        <f t="shared" si="4"/>
        <v>9.4007504279709539E-2</v>
      </c>
    </row>
    <row r="120" spans="1:11" x14ac:dyDescent="0.25">
      <c r="A120" s="38">
        <v>2014</v>
      </c>
      <c r="B120" s="69">
        <f t="shared" si="3"/>
        <v>30.614239999999999</v>
      </c>
      <c r="C120" s="40">
        <v>318857056</v>
      </c>
      <c r="D120" s="68">
        <f t="shared" si="4"/>
        <v>9.6012427587614677E-2</v>
      </c>
    </row>
    <row r="121" spans="1:11" x14ac:dyDescent="0.25">
      <c r="A121" s="37">
        <v>2015</v>
      </c>
      <c r="B121" s="69">
        <f t="shared" si="3"/>
        <v>25.557029</v>
      </c>
      <c r="C121" s="39">
        <v>321418820</v>
      </c>
      <c r="D121" s="68">
        <f t="shared" si="4"/>
        <v>7.9513169141744708E-2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</row>
    <row r="126" spans="1:11" ht="60" x14ac:dyDescent="0.25">
      <c r="A126" s="116" t="s">
        <v>3</v>
      </c>
      <c r="B126" s="34" t="s">
        <v>16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>
        <f t="shared" ref="B127:B151" si="5">B6</f>
        <v>356.33337599999999</v>
      </c>
      <c r="C127" s="39">
        <v>253620000</v>
      </c>
      <c r="D127" s="81">
        <f t="shared" ref="D127:D151" si="6">(B127*1000000/C127)</f>
        <v>1.4049892595221196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69">
        <f t="shared" si="5"/>
        <v>373.66137600000002</v>
      </c>
      <c r="C128" s="40">
        <v>256516000</v>
      </c>
      <c r="D128" s="81">
        <f t="shared" si="6"/>
        <v>1.4566786321321088</v>
      </c>
    </row>
    <row r="129" spans="1:4" x14ac:dyDescent="0.25">
      <c r="A129" s="37">
        <v>1993</v>
      </c>
      <c r="B129" s="69">
        <f t="shared" si="5"/>
        <v>235.826752</v>
      </c>
      <c r="C129" s="39">
        <v>259131000</v>
      </c>
      <c r="D129" s="81">
        <f t="shared" si="6"/>
        <v>0.91006769548992594</v>
      </c>
    </row>
    <row r="130" spans="1:4" x14ac:dyDescent="0.25">
      <c r="A130" s="38">
        <v>1994</v>
      </c>
      <c r="B130" s="69">
        <f t="shared" si="5"/>
        <v>362.19535999999999</v>
      </c>
      <c r="C130" s="40">
        <v>264061000</v>
      </c>
      <c r="D130" s="81">
        <f t="shared" si="6"/>
        <v>1.371635190353744</v>
      </c>
    </row>
    <row r="131" spans="1:4" x14ac:dyDescent="0.25">
      <c r="A131" s="37">
        <v>1995</v>
      </c>
      <c r="B131" s="69">
        <f t="shared" si="5"/>
        <v>414.26508799999999</v>
      </c>
      <c r="C131" s="39">
        <v>266398000</v>
      </c>
      <c r="D131" s="81">
        <f t="shared" si="6"/>
        <v>1.5550608037597879</v>
      </c>
    </row>
    <row r="132" spans="1:4" x14ac:dyDescent="0.25">
      <c r="A132" s="38">
        <v>1996</v>
      </c>
      <c r="B132" s="69">
        <f t="shared" si="5"/>
        <v>412.33942400000001</v>
      </c>
      <c r="C132" s="40">
        <v>268930000</v>
      </c>
      <c r="D132" s="81">
        <f t="shared" si="6"/>
        <v>1.5332593016770164</v>
      </c>
    </row>
    <row r="133" spans="1:4" x14ac:dyDescent="0.25">
      <c r="A133" s="37">
        <v>1997</v>
      </c>
      <c r="B133" s="69">
        <f t="shared" si="5"/>
        <v>703.16601600000001</v>
      </c>
      <c r="C133" s="39">
        <v>271387000</v>
      </c>
      <c r="D133" s="81">
        <f t="shared" si="6"/>
        <v>2.5910084712974459</v>
      </c>
    </row>
    <row r="134" spans="1:4" x14ac:dyDescent="0.25">
      <c r="A134" s="38">
        <v>1998</v>
      </c>
      <c r="B134" s="69">
        <f t="shared" si="5"/>
        <v>572.62649599999997</v>
      </c>
      <c r="C134" s="40">
        <v>271584000</v>
      </c>
      <c r="D134" s="81">
        <f t="shared" si="6"/>
        <v>2.1084691881701425</v>
      </c>
    </row>
    <row r="135" spans="1:4" x14ac:dyDescent="0.25">
      <c r="A135" s="37">
        <v>1999</v>
      </c>
      <c r="B135" s="69">
        <f t="shared" si="5"/>
        <v>469.02096</v>
      </c>
      <c r="C135" s="39">
        <v>274024000</v>
      </c>
      <c r="D135" s="81">
        <f t="shared" si="6"/>
        <v>1.7116054068256794</v>
      </c>
    </row>
    <row r="136" spans="1:4" x14ac:dyDescent="0.25">
      <c r="A136" s="38">
        <v>2000</v>
      </c>
      <c r="B136" s="69">
        <f t="shared" si="5"/>
        <v>389.229713</v>
      </c>
      <c r="C136" s="40">
        <v>284968955</v>
      </c>
      <c r="D136" s="81">
        <f t="shared" si="6"/>
        <v>1.3658670748889121</v>
      </c>
    </row>
    <row r="137" spans="1:4" x14ac:dyDescent="0.25">
      <c r="A137" s="37">
        <v>2001</v>
      </c>
      <c r="B137" s="69">
        <f t="shared" si="5"/>
        <v>279.14183400000002</v>
      </c>
      <c r="C137" s="39">
        <v>287625193</v>
      </c>
      <c r="D137" s="81">
        <f t="shared" si="6"/>
        <v>0.97050550783985046</v>
      </c>
    </row>
    <row r="138" spans="1:4" x14ac:dyDescent="0.25">
      <c r="A138" s="38">
        <v>2002</v>
      </c>
      <c r="B138" s="69">
        <f t="shared" si="5"/>
        <v>296.84640100000001</v>
      </c>
      <c r="C138" s="40">
        <v>290107933</v>
      </c>
      <c r="D138" s="81">
        <f t="shared" si="6"/>
        <v>1.0232274516946767</v>
      </c>
    </row>
    <row r="139" spans="1:4" x14ac:dyDescent="0.25">
      <c r="A139" s="37">
        <v>2003</v>
      </c>
      <c r="B139" s="69">
        <f t="shared" si="5"/>
        <v>324.63494900000001</v>
      </c>
      <c r="C139" s="39">
        <v>292805298</v>
      </c>
      <c r="D139" s="81">
        <f t="shared" si="6"/>
        <v>1.1087058575012532</v>
      </c>
    </row>
    <row r="140" spans="1:4" x14ac:dyDescent="0.25">
      <c r="A140" s="38">
        <v>2004</v>
      </c>
      <c r="B140" s="69">
        <f t="shared" si="5"/>
        <v>380.21622500000001</v>
      </c>
      <c r="C140" s="40">
        <v>295516599</v>
      </c>
      <c r="D140" s="81">
        <f t="shared" si="6"/>
        <v>1.2866154601352866</v>
      </c>
    </row>
    <row r="141" spans="1:4" x14ac:dyDescent="0.25">
      <c r="A141" s="37">
        <v>2005</v>
      </c>
      <c r="B141" s="69">
        <f t="shared" si="5"/>
        <v>586.29403300000001</v>
      </c>
      <c r="C141" s="39">
        <v>298379912</v>
      </c>
      <c r="D141" s="81">
        <f t="shared" si="6"/>
        <v>1.9649246126193642</v>
      </c>
    </row>
    <row r="142" spans="1:4" x14ac:dyDescent="0.25">
      <c r="A142" s="38">
        <v>2006</v>
      </c>
      <c r="B142" s="69">
        <f t="shared" si="5"/>
        <v>579.43696</v>
      </c>
      <c r="C142" s="40">
        <v>301231207</v>
      </c>
      <c r="D142" s="81">
        <f t="shared" si="6"/>
        <v>1.9235621892256336</v>
      </c>
    </row>
    <row r="143" spans="1:4" x14ac:dyDescent="0.25">
      <c r="A143" s="37">
        <v>2007</v>
      </c>
      <c r="B143" s="69">
        <f t="shared" si="5"/>
        <v>658.19860600000004</v>
      </c>
      <c r="C143" s="39">
        <v>304093966</v>
      </c>
      <c r="D143" s="81">
        <f t="shared" si="6"/>
        <v>2.1644579623128726</v>
      </c>
    </row>
    <row r="144" spans="1:4" x14ac:dyDescent="0.25">
      <c r="A144" s="38">
        <v>2008</v>
      </c>
      <c r="B144" s="69">
        <f t="shared" si="5"/>
        <v>784.02828799999997</v>
      </c>
      <c r="C144" s="40">
        <v>306771529</v>
      </c>
      <c r="D144" s="81">
        <f t="shared" si="6"/>
        <v>2.5557400667387227</v>
      </c>
    </row>
    <row r="145" spans="1:10" x14ac:dyDescent="0.25">
      <c r="A145" s="37">
        <v>2009</v>
      </c>
      <c r="B145" s="69">
        <f t="shared" si="5"/>
        <v>767.05405399999995</v>
      </c>
      <c r="C145" s="39">
        <v>308745538</v>
      </c>
      <c r="D145" s="81">
        <f t="shared" si="6"/>
        <v>2.4844215044170128</v>
      </c>
    </row>
    <row r="146" spans="1:10" x14ac:dyDescent="0.25">
      <c r="A146" s="38">
        <v>2010</v>
      </c>
      <c r="B146" s="69">
        <f t="shared" si="5"/>
        <v>879.24043200000006</v>
      </c>
      <c r="C146" s="40">
        <v>309347057</v>
      </c>
      <c r="D146" s="81">
        <f t="shared" si="6"/>
        <v>2.8422459891060154</v>
      </c>
    </row>
    <row r="147" spans="1:10" x14ac:dyDescent="0.25">
      <c r="A147" s="37">
        <v>2011</v>
      </c>
      <c r="B147" s="69">
        <f t="shared" si="5"/>
        <v>1253.501368</v>
      </c>
      <c r="C147" s="39">
        <v>311721632</v>
      </c>
      <c r="D147" s="81">
        <f t="shared" si="6"/>
        <v>4.0212203431553961</v>
      </c>
    </row>
    <row r="148" spans="1:10" x14ac:dyDescent="0.25">
      <c r="A148" s="38">
        <v>2012</v>
      </c>
      <c r="B148" s="69">
        <f t="shared" si="5"/>
        <v>925.35675600000002</v>
      </c>
      <c r="C148" s="40">
        <v>314112078</v>
      </c>
      <c r="D148" s="81">
        <f t="shared" si="6"/>
        <v>2.9459445236613919</v>
      </c>
    </row>
    <row r="149" spans="1:10" x14ac:dyDescent="0.25">
      <c r="A149" s="37">
        <v>2013</v>
      </c>
      <c r="B149" s="69">
        <f t="shared" si="5"/>
        <v>959.63503200000002</v>
      </c>
      <c r="C149" s="39">
        <v>316497531</v>
      </c>
      <c r="D149" s="81">
        <f t="shared" si="6"/>
        <v>3.0320458708412485</v>
      </c>
    </row>
    <row r="150" spans="1:10" x14ac:dyDescent="0.25">
      <c r="A150" s="38">
        <v>2014</v>
      </c>
      <c r="B150" s="69">
        <f t="shared" si="5"/>
        <v>1138.514244</v>
      </c>
      <c r="C150" s="40">
        <v>318857056</v>
      </c>
      <c r="D150" s="81">
        <f t="shared" si="6"/>
        <v>3.5706101608113698</v>
      </c>
    </row>
    <row r="151" spans="1:10" x14ac:dyDescent="0.25">
      <c r="A151" s="37">
        <v>2015</v>
      </c>
      <c r="B151" s="69">
        <f t="shared" si="5"/>
        <v>1178.3594880000001</v>
      </c>
      <c r="C151" s="39">
        <v>321418820</v>
      </c>
      <c r="D151" s="81">
        <f t="shared" si="6"/>
        <v>3.6661185178889029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116" t="s">
        <v>3</v>
      </c>
      <c r="B155" s="34" t="s">
        <v>67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88">
        <f t="shared" ref="B156:B180" si="7">B65</f>
        <v>356.95325500000001</v>
      </c>
      <c r="C156" s="39">
        <v>253620000</v>
      </c>
      <c r="D156" s="81">
        <f t="shared" ref="D156:D180" si="8">(B156/C156)*1000000</f>
        <v>1.4074333845911207</v>
      </c>
    </row>
    <row r="157" spans="1:10" x14ac:dyDescent="0.25">
      <c r="A157" s="38">
        <v>1992</v>
      </c>
      <c r="B157" s="88">
        <f t="shared" si="7"/>
        <v>375.22349200000002</v>
      </c>
      <c r="C157" s="40">
        <v>256516000</v>
      </c>
      <c r="D157" s="81">
        <f t="shared" si="8"/>
        <v>1.4627683731229242</v>
      </c>
    </row>
    <row r="158" spans="1:10" x14ac:dyDescent="0.25">
      <c r="A158" s="37">
        <v>1993</v>
      </c>
      <c r="B158" s="88">
        <f t="shared" si="7"/>
        <v>237.70677699999999</v>
      </c>
      <c r="C158" s="39">
        <v>259131000</v>
      </c>
      <c r="D158" s="81">
        <f t="shared" si="8"/>
        <v>0.91732280969856939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88">
        <f t="shared" si="7"/>
        <v>364.10657600000002</v>
      </c>
      <c r="C159" s="40">
        <v>264061000</v>
      </c>
      <c r="D159" s="81">
        <f t="shared" si="8"/>
        <v>1.3788729725328617</v>
      </c>
    </row>
    <row r="160" spans="1:10" x14ac:dyDescent="0.25">
      <c r="A160" s="37">
        <v>1995</v>
      </c>
      <c r="B160" s="88">
        <f t="shared" si="7"/>
        <v>416.73512799999997</v>
      </c>
      <c r="C160" s="39">
        <v>266398000</v>
      </c>
      <c r="D160" s="81">
        <f t="shared" si="8"/>
        <v>1.564332795291256</v>
      </c>
    </row>
    <row r="161" spans="1:4" x14ac:dyDescent="0.25">
      <c r="A161" s="38">
        <v>1996</v>
      </c>
      <c r="B161" s="88">
        <f t="shared" si="7"/>
        <v>414.56091800000002</v>
      </c>
      <c r="C161" s="40">
        <v>268930000</v>
      </c>
      <c r="D161" s="81">
        <f t="shared" si="8"/>
        <v>1.5415197932547504</v>
      </c>
    </row>
    <row r="162" spans="1:4" x14ac:dyDescent="0.25">
      <c r="A162" s="37">
        <v>1997</v>
      </c>
      <c r="B162" s="88">
        <f t="shared" si="7"/>
        <v>705.07615199999998</v>
      </c>
      <c r="C162" s="39">
        <v>271387000</v>
      </c>
      <c r="D162" s="81">
        <f t="shared" si="8"/>
        <v>2.5980468924451059</v>
      </c>
    </row>
    <row r="163" spans="1:4" x14ac:dyDescent="0.25">
      <c r="A163" s="38">
        <v>1998</v>
      </c>
      <c r="B163" s="88">
        <f t="shared" si="7"/>
        <v>574.91945999999996</v>
      </c>
      <c r="C163" s="40">
        <v>271584000</v>
      </c>
      <c r="D163" s="81">
        <f t="shared" si="8"/>
        <v>2.1169121155885469</v>
      </c>
    </row>
    <row r="164" spans="1:4" x14ac:dyDescent="0.25">
      <c r="A164" s="37">
        <v>1999</v>
      </c>
      <c r="B164" s="88">
        <f t="shared" si="7"/>
        <v>470.62626899999998</v>
      </c>
      <c r="C164" s="39">
        <v>274024000</v>
      </c>
      <c r="D164" s="81">
        <f t="shared" si="8"/>
        <v>1.7174636856625696</v>
      </c>
    </row>
    <row r="165" spans="1:4" x14ac:dyDescent="0.25">
      <c r="A165" s="38">
        <v>2000</v>
      </c>
      <c r="B165" s="88">
        <f t="shared" si="7"/>
        <v>390.75227100000001</v>
      </c>
      <c r="C165" s="40">
        <v>284968955</v>
      </c>
      <c r="D165" s="81">
        <f t="shared" si="8"/>
        <v>1.3712099656609962</v>
      </c>
    </row>
    <row r="166" spans="1:4" x14ac:dyDescent="0.25">
      <c r="A166" s="37">
        <v>2001</v>
      </c>
      <c r="B166" s="88">
        <f t="shared" si="7"/>
        <v>281.36294800000002</v>
      </c>
      <c r="C166" s="39">
        <v>287625193</v>
      </c>
      <c r="D166" s="81">
        <f t="shared" si="8"/>
        <v>0.97822775906837911</v>
      </c>
    </row>
    <row r="167" spans="1:4" x14ac:dyDescent="0.25">
      <c r="A167" s="38">
        <v>2002</v>
      </c>
      <c r="B167" s="88">
        <f t="shared" si="7"/>
        <v>299.72891200000004</v>
      </c>
      <c r="C167" s="40">
        <v>290107933</v>
      </c>
      <c r="D167" s="81">
        <f t="shared" si="8"/>
        <v>1.0331634467920601</v>
      </c>
    </row>
    <row r="168" spans="1:4" x14ac:dyDescent="0.25">
      <c r="A168" s="37">
        <v>2003</v>
      </c>
      <c r="B168" s="88">
        <f t="shared" si="7"/>
        <v>327.14183700000001</v>
      </c>
      <c r="C168" s="39">
        <v>292805298</v>
      </c>
      <c r="D168" s="81">
        <f t="shared" si="8"/>
        <v>1.1172674785413206</v>
      </c>
    </row>
    <row r="169" spans="1:4" x14ac:dyDescent="0.25">
      <c r="A169" s="38">
        <v>2004</v>
      </c>
      <c r="B169" s="88">
        <f t="shared" si="7"/>
        <v>383.77491300000003</v>
      </c>
      <c r="C169" s="40">
        <v>295516599</v>
      </c>
      <c r="D169" s="81">
        <f t="shared" si="8"/>
        <v>1.2986577210845609</v>
      </c>
    </row>
    <row r="170" spans="1:4" x14ac:dyDescent="0.25">
      <c r="A170" s="37">
        <v>2005</v>
      </c>
      <c r="B170" s="88">
        <f t="shared" si="7"/>
        <v>589.72288800000001</v>
      </c>
      <c r="C170" s="39">
        <v>298379912</v>
      </c>
      <c r="D170" s="81">
        <f t="shared" si="8"/>
        <v>1.9764161871594093</v>
      </c>
    </row>
    <row r="171" spans="1:4" x14ac:dyDescent="0.25">
      <c r="A171" s="38">
        <v>2006</v>
      </c>
      <c r="B171" s="88">
        <f t="shared" si="7"/>
        <v>584.81026599999996</v>
      </c>
      <c r="C171" s="40">
        <v>301231207</v>
      </c>
      <c r="D171" s="81">
        <f t="shared" si="8"/>
        <v>1.9414000024240514</v>
      </c>
    </row>
    <row r="172" spans="1:4" x14ac:dyDescent="0.25">
      <c r="A172" s="37">
        <v>2007</v>
      </c>
      <c r="B172" s="88">
        <f t="shared" si="7"/>
        <v>661.88992400000006</v>
      </c>
      <c r="C172" s="39">
        <v>304093966</v>
      </c>
      <c r="D172" s="81">
        <f t="shared" si="8"/>
        <v>2.1765967036649454</v>
      </c>
    </row>
    <row r="173" spans="1:4" x14ac:dyDescent="0.25">
      <c r="A173" s="38">
        <v>2008</v>
      </c>
      <c r="B173" s="88">
        <f t="shared" si="7"/>
        <v>789.53349500000002</v>
      </c>
      <c r="C173" s="40">
        <v>306771529</v>
      </c>
      <c r="D173" s="81">
        <f t="shared" si="8"/>
        <v>2.5736856923251183</v>
      </c>
    </row>
    <row r="174" spans="1:4" x14ac:dyDescent="0.25">
      <c r="A174" s="37">
        <v>2009</v>
      </c>
      <c r="B174" s="88">
        <f t="shared" si="7"/>
        <v>771.74862999999993</v>
      </c>
      <c r="C174" s="39">
        <v>308745538</v>
      </c>
      <c r="D174" s="81">
        <f t="shared" si="8"/>
        <v>2.4996268286150904</v>
      </c>
    </row>
    <row r="175" spans="1:4" x14ac:dyDescent="0.25">
      <c r="A175" s="38">
        <v>2010</v>
      </c>
      <c r="B175" s="88">
        <f t="shared" si="7"/>
        <v>885.08941900000002</v>
      </c>
      <c r="C175" s="40">
        <v>309347057</v>
      </c>
      <c r="D175" s="81">
        <f t="shared" si="8"/>
        <v>2.8611535134145463</v>
      </c>
    </row>
    <row r="176" spans="1:4" x14ac:dyDescent="0.25">
      <c r="A176" s="37">
        <v>2011</v>
      </c>
      <c r="B176" s="88">
        <f t="shared" si="7"/>
        <v>1260.31934</v>
      </c>
      <c r="C176" s="39">
        <v>311721632</v>
      </c>
      <c r="D176" s="81">
        <f t="shared" si="8"/>
        <v>4.0430923318148153</v>
      </c>
    </row>
    <row r="177" spans="1:4" x14ac:dyDescent="0.25">
      <c r="A177" s="38">
        <v>2012</v>
      </c>
      <c r="B177" s="88">
        <f t="shared" si="7"/>
        <v>938.820425</v>
      </c>
      <c r="C177" s="40">
        <v>314112078</v>
      </c>
      <c r="D177" s="81">
        <f t="shared" si="8"/>
        <v>2.9888071511850622</v>
      </c>
    </row>
    <row r="178" spans="1:4" x14ac:dyDescent="0.25">
      <c r="A178" s="37">
        <v>2013</v>
      </c>
      <c r="B178" s="88">
        <f t="shared" si="7"/>
        <v>989.38817500000005</v>
      </c>
      <c r="C178" s="39">
        <v>316497531</v>
      </c>
      <c r="D178" s="81">
        <f t="shared" si="8"/>
        <v>3.126053375120958</v>
      </c>
    </row>
    <row r="179" spans="1:4" x14ac:dyDescent="0.25">
      <c r="A179" s="38">
        <v>2014</v>
      </c>
      <c r="B179" s="88">
        <f t="shared" si="7"/>
        <v>1169.1284840000001</v>
      </c>
      <c r="C179" s="40">
        <v>318857056</v>
      </c>
      <c r="D179" s="81">
        <f t="shared" si="8"/>
        <v>3.6666225883989849</v>
      </c>
    </row>
    <row r="180" spans="1:4" x14ac:dyDescent="0.25">
      <c r="A180" s="37">
        <v>2015</v>
      </c>
      <c r="B180" s="88">
        <f t="shared" si="7"/>
        <v>1203.9165170000001</v>
      </c>
      <c r="C180" s="39">
        <v>321418820</v>
      </c>
      <c r="D180" s="81">
        <f t="shared" si="8"/>
        <v>3.7456316870306479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topLeftCell="A91" zoomScale="110" zoomScaleNormal="110" workbookViewId="0">
      <selection activeCell="E68" sqref="E68:E92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  <col min="12" max="12" width="12.28515625" bestFit="1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13</v>
      </c>
      <c r="D5" s="13" t="s">
        <v>14</v>
      </c>
      <c r="E5" s="14" t="s">
        <v>4</v>
      </c>
    </row>
    <row r="6" spans="2:12" x14ac:dyDescent="0.25">
      <c r="B6" s="10">
        <v>1991</v>
      </c>
      <c r="C6" s="69">
        <f>'Export 07'!B2</f>
        <v>356.33337599999999</v>
      </c>
      <c r="D6" s="2">
        <v>30.88664</v>
      </c>
      <c r="E6" s="76">
        <f t="shared" ref="E6:E30" si="0">(C6/D6)/100000000000</f>
        <v>1.1536812550669156E-10</v>
      </c>
    </row>
    <row r="7" spans="2:12" x14ac:dyDescent="0.25">
      <c r="B7" s="10">
        <v>1992</v>
      </c>
      <c r="C7" s="69">
        <f>'Export 07'!B3</f>
        <v>373.66137600000002</v>
      </c>
      <c r="D7" s="2">
        <v>36.748779999999996</v>
      </c>
      <c r="E7" s="76">
        <f t="shared" si="0"/>
        <v>1.0167994039530023E-10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69">
        <f>'Export 07'!B4</f>
        <v>235.826752</v>
      </c>
      <c r="D8" s="2">
        <v>54.163779999999996</v>
      </c>
      <c r="E8" s="76">
        <f t="shared" si="0"/>
        <v>4.3539566847070132E-11</v>
      </c>
    </row>
    <row r="9" spans="2:12" x14ac:dyDescent="0.25">
      <c r="B9" s="10">
        <v>1994</v>
      </c>
      <c r="C9" s="69">
        <f>'Export 07'!B5</f>
        <v>362.19535999999999</v>
      </c>
      <c r="D9" s="2">
        <v>82.613830000000007</v>
      </c>
      <c r="E9" s="76">
        <f t="shared" si="0"/>
        <v>4.384197657946617E-11</v>
      </c>
    </row>
    <row r="10" spans="2:12" x14ac:dyDescent="0.25">
      <c r="B10" s="10">
        <v>1995</v>
      </c>
      <c r="C10" s="69">
        <f>'Export 07'!B6</f>
        <v>414.26508799999999</v>
      </c>
      <c r="D10" s="2">
        <v>97.478279999999998</v>
      </c>
      <c r="E10" s="76">
        <f t="shared" si="0"/>
        <v>4.2498194264404334E-11</v>
      </c>
    </row>
    <row r="11" spans="2:12" x14ac:dyDescent="0.25">
      <c r="B11" s="10">
        <v>1996</v>
      </c>
      <c r="C11" s="69">
        <f>'Export 07'!B7</f>
        <v>412.33942400000001</v>
      </c>
      <c r="D11" s="2">
        <v>137.40472</v>
      </c>
      <c r="E11" s="76">
        <f t="shared" si="0"/>
        <v>3.0009116426277061E-11</v>
      </c>
    </row>
    <row r="12" spans="2:12" x14ac:dyDescent="0.25">
      <c r="B12" s="10">
        <v>1997</v>
      </c>
      <c r="C12" s="69">
        <f>'Export 07'!B8</f>
        <v>703.16601600000001</v>
      </c>
      <c r="D12" s="2">
        <v>168.40043</v>
      </c>
      <c r="E12" s="76">
        <f t="shared" si="0"/>
        <v>4.1755595042126677E-11</v>
      </c>
    </row>
    <row r="13" spans="2:12" x14ac:dyDescent="0.25">
      <c r="B13" s="10">
        <v>1998</v>
      </c>
      <c r="C13" s="69">
        <f>'Export 07'!B9</f>
        <v>572.62649599999997</v>
      </c>
      <c r="D13" s="2">
        <v>184.64424</v>
      </c>
      <c r="E13" s="76">
        <f t="shared" si="0"/>
        <v>3.1012421291885413E-11</v>
      </c>
    </row>
    <row r="14" spans="2:12" x14ac:dyDescent="0.25">
      <c r="B14" s="10">
        <v>1999</v>
      </c>
      <c r="C14" s="69">
        <f>'Export 07'!B10</f>
        <v>469.02096</v>
      </c>
      <c r="D14" s="2">
        <v>182.49723999999998</v>
      </c>
      <c r="E14" s="76">
        <f t="shared" si="0"/>
        <v>2.5700167301160284E-11</v>
      </c>
    </row>
    <row r="15" spans="2:12" x14ac:dyDescent="0.25">
      <c r="B15" s="10">
        <v>2000</v>
      </c>
      <c r="C15" s="69">
        <f>'Export 07'!B11</f>
        <v>389.229713</v>
      </c>
      <c r="D15" s="2">
        <v>173.83799999999999</v>
      </c>
      <c r="E15" s="76">
        <f t="shared" si="0"/>
        <v>2.2390369942130031E-11</v>
      </c>
    </row>
    <row r="16" spans="2:12" x14ac:dyDescent="0.25">
      <c r="B16" s="10">
        <v>2001</v>
      </c>
      <c r="C16" s="69">
        <f>'Export 07'!B12</f>
        <v>279.14183400000002</v>
      </c>
      <c r="D16" s="2">
        <v>169.57254999999998</v>
      </c>
      <c r="E16" s="76">
        <f t="shared" si="0"/>
        <v>1.6461498868773282E-11</v>
      </c>
    </row>
    <row r="17" spans="2:5" x14ac:dyDescent="0.25">
      <c r="B17" s="10">
        <v>2002</v>
      </c>
      <c r="C17" s="69">
        <f>'Export 07'!B13</f>
        <v>296.84640100000001</v>
      </c>
      <c r="D17" s="2">
        <v>193.08387999999999</v>
      </c>
      <c r="E17" s="76">
        <f t="shared" si="0"/>
        <v>1.5373960840231719E-11</v>
      </c>
    </row>
    <row r="18" spans="2:5" x14ac:dyDescent="0.25">
      <c r="B18" s="10">
        <v>2003</v>
      </c>
      <c r="C18" s="69">
        <f>'Export 07'!B14</f>
        <v>324.63494900000001</v>
      </c>
      <c r="D18" s="2">
        <v>203.78914</v>
      </c>
      <c r="E18" s="76">
        <f t="shared" si="0"/>
        <v>1.5929943519070743E-11</v>
      </c>
    </row>
    <row r="19" spans="2:5" x14ac:dyDescent="0.25">
      <c r="B19" s="10">
        <v>2004</v>
      </c>
      <c r="C19" s="69">
        <f>'Export 07'!B15</f>
        <v>380.21622500000001</v>
      </c>
      <c r="D19" s="2">
        <v>220.41551999999999</v>
      </c>
      <c r="E19" s="76">
        <f t="shared" si="0"/>
        <v>1.7249975183235738E-11</v>
      </c>
    </row>
    <row r="20" spans="2:5" x14ac:dyDescent="0.25">
      <c r="B20" s="10">
        <v>2005</v>
      </c>
      <c r="C20" s="69">
        <f>'Export 07'!B16</f>
        <v>586.29403300000001</v>
      </c>
      <c r="D20" s="2">
        <v>255.02369000000002</v>
      </c>
      <c r="E20" s="76">
        <f t="shared" si="0"/>
        <v>2.2989787066448607E-11</v>
      </c>
    </row>
    <row r="21" spans="2:5" x14ac:dyDescent="0.25">
      <c r="B21" s="10">
        <v>2006</v>
      </c>
      <c r="C21" s="69">
        <f>'Export 07'!B17</f>
        <v>579.43696</v>
      </c>
      <c r="D21" s="2">
        <v>289.62955999999997</v>
      </c>
      <c r="E21" s="76">
        <f t="shared" si="0"/>
        <v>2.0006140257230651E-11</v>
      </c>
    </row>
    <row r="22" spans="2:5" x14ac:dyDescent="0.25">
      <c r="B22" s="10">
        <v>2007</v>
      </c>
      <c r="C22" s="69">
        <f>'Export 07'!B18</f>
        <v>658.19860600000004</v>
      </c>
      <c r="D22" s="2">
        <v>315.86653999999999</v>
      </c>
      <c r="E22" s="76">
        <f t="shared" si="0"/>
        <v>2.0837870513287039E-11</v>
      </c>
    </row>
    <row r="23" spans="2:5" x14ac:dyDescent="0.25">
      <c r="B23" s="10">
        <v>2008</v>
      </c>
      <c r="C23" s="69">
        <f>'Export 07'!B19</f>
        <v>784.02828799999997</v>
      </c>
      <c r="D23" s="2">
        <v>356.99453000000005</v>
      </c>
      <c r="E23" s="76">
        <f t="shared" si="0"/>
        <v>2.1961913197941713E-11</v>
      </c>
    </row>
    <row r="24" spans="2:5" x14ac:dyDescent="0.25">
      <c r="B24" s="10">
        <v>2009</v>
      </c>
      <c r="C24" s="69">
        <f>'Export 07'!B20</f>
        <v>767.05405399999995</v>
      </c>
      <c r="D24" s="2">
        <v>413.96373999999997</v>
      </c>
      <c r="E24" s="76">
        <f t="shared" si="0"/>
        <v>1.8529498598113932E-11</v>
      </c>
    </row>
    <row r="25" spans="2:5" x14ac:dyDescent="0.25">
      <c r="B25" s="10">
        <v>2010</v>
      </c>
      <c r="C25" s="69">
        <f>'Export 07'!B21</f>
        <v>879.24043200000006</v>
      </c>
      <c r="D25" s="2">
        <v>476.72912000000002</v>
      </c>
      <c r="E25" s="76">
        <f t="shared" si="0"/>
        <v>1.8443187024111301E-11</v>
      </c>
    </row>
    <row r="26" spans="2:5" x14ac:dyDescent="0.25">
      <c r="B26" s="10">
        <v>2011</v>
      </c>
      <c r="C26" s="69">
        <f>'Export 07'!B22</f>
        <v>1253.501368</v>
      </c>
      <c r="D26" s="2">
        <v>449.90528999999998</v>
      </c>
      <c r="E26" s="76">
        <f t="shared" si="0"/>
        <v>2.7861449862036518E-11</v>
      </c>
    </row>
    <row r="27" spans="2:5" x14ac:dyDescent="0.25">
      <c r="B27" s="10">
        <v>2012</v>
      </c>
      <c r="C27" s="69">
        <f>'Export 07'!B23</f>
        <v>925.35675600000002</v>
      </c>
      <c r="D27" s="2">
        <v>494.70812999999998</v>
      </c>
      <c r="E27" s="76">
        <f t="shared" si="0"/>
        <v>1.8705105088933956E-11</v>
      </c>
    </row>
    <row r="28" spans="2:5" x14ac:dyDescent="0.25">
      <c r="B28" s="10">
        <v>2013</v>
      </c>
      <c r="C28" s="69">
        <f>'Export 07'!B24</f>
        <v>959.63503200000002</v>
      </c>
      <c r="D28" s="2">
        <v>585.44633999999996</v>
      </c>
      <c r="E28" s="76">
        <f t="shared" si="0"/>
        <v>1.6391511338169782E-11</v>
      </c>
    </row>
    <row r="29" spans="2:5" x14ac:dyDescent="0.25">
      <c r="B29" s="10">
        <v>2014</v>
      </c>
      <c r="C29" s="69">
        <f>'Export 07'!B25</f>
        <v>1138.514244</v>
      </c>
      <c r="D29" s="2">
        <v>607.30944999999997</v>
      </c>
      <c r="E29" s="76">
        <f t="shared" si="0"/>
        <v>1.8746855396371654E-11</v>
      </c>
    </row>
    <row r="30" spans="2:5" x14ac:dyDescent="0.25">
      <c r="B30" s="11">
        <v>2015</v>
      </c>
      <c r="C30" s="69">
        <f>'Export 07'!B26</f>
        <v>1178.3594880000001</v>
      </c>
      <c r="D30" s="2">
        <v>645.33130000000006</v>
      </c>
      <c r="E30" s="76">
        <f t="shared" si="0"/>
        <v>1.8259760343253146E-11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</row>
    <row r="36" spans="2:12" ht="60" x14ac:dyDescent="0.25">
      <c r="B36" s="12" t="s">
        <v>3</v>
      </c>
      <c r="C36" s="13" t="s">
        <v>16</v>
      </c>
      <c r="D36" s="13" t="s">
        <v>14</v>
      </c>
      <c r="E36" s="14" t="s">
        <v>81</v>
      </c>
    </row>
    <row r="37" spans="2:12" x14ac:dyDescent="0.25">
      <c r="B37" s="10">
        <v>1991</v>
      </c>
      <c r="C37" s="69">
        <f>' Per Cápita 07'!B36</f>
        <v>0.61987899999999996</v>
      </c>
      <c r="D37" s="2">
        <v>30.88664</v>
      </c>
      <c r="E37" s="76">
        <f t="shared" ref="E37:E61" si="1">(C37/D37)/1000000000</f>
        <v>2.0069486353970516E-11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69">
        <f>' Per Cápita 07'!B37</f>
        <v>1.5621160000000001</v>
      </c>
      <c r="D38" s="2">
        <v>36.748779999999996</v>
      </c>
      <c r="E38" s="76">
        <f t="shared" si="1"/>
        <v>4.2507968972031183E-11</v>
      </c>
    </row>
    <row r="39" spans="2:12" x14ac:dyDescent="0.25">
      <c r="B39" s="10">
        <v>1993</v>
      </c>
      <c r="C39" s="69">
        <f>' Per Cápita 07'!B38</f>
        <v>1.8800250000000001</v>
      </c>
      <c r="D39" s="2">
        <v>54.163779999999996</v>
      </c>
      <c r="E39" s="76">
        <f t="shared" si="1"/>
        <v>3.4710003622346889E-11</v>
      </c>
    </row>
    <row r="40" spans="2:12" x14ac:dyDescent="0.25">
      <c r="B40" s="10">
        <v>1994</v>
      </c>
      <c r="C40" s="69">
        <f>' Per Cápita 07'!B39</f>
        <v>1.911216</v>
      </c>
      <c r="D40" s="2">
        <v>82.613830000000007</v>
      </c>
      <c r="E40" s="76">
        <f t="shared" si="1"/>
        <v>2.3134334771793051E-11</v>
      </c>
    </row>
    <row r="41" spans="2:12" x14ac:dyDescent="0.25">
      <c r="B41" s="10">
        <v>1995</v>
      </c>
      <c r="C41" s="69">
        <f>' Per Cápita 07'!B40</f>
        <v>2.47004</v>
      </c>
      <c r="D41" s="2">
        <v>97.478279999999998</v>
      </c>
      <c r="E41" s="76">
        <f t="shared" si="1"/>
        <v>2.5339388425811369E-11</v>
      </c>
    </row>
    <row r="42" spans="2:12" x14ac:dyDescent="0.25">
      <c r="B42" s="10">
        <v>1996</v>
      </c>
      <c r="C42" s="69">
        <f>' Per Cápita 07'!B41</f>
        <v>2.2214939999999999</v>
      </c>
      <c r="D42" s="2">
        <v>137.40472</v>
      </c>
      <c r="E42" s="76">
        <f t="shared" si="1"/>
        <v>1.6167523211720822E-11</v>
      </c>
    </row>
    <row r="43" spans="2:12" x14ac:dyDescent="0.25">
      <c r="B43" s="10">
        <v>1997</v>
      </c>
      <c r="C43" s="69">
        <f>' Per Cápita 07'!B42</f>
        <v>1.9101360000000001</v>
      </c>
      <c r="D43" s="2">
        <v>168.40043</v>
      </c>
      <c r="E43" s="76">
        <f t="shared" si="1"/>
        <v>1.134282139303326E-11</v>
      </c>
    </row>
    <row r="44" spans="2:12" x14ac:dyDescent="0.25">
      <c r="B44" s="10">
        <v>1998</v>
      </c>
      <c r="C44" s="69">
        <f>' Per Cápita 07'!B43</f>
        <v>2.292964</v>
      </c>
      <c r="D44" s="2">
        <v>184.64424</v>
      </c>
      <c r="E44" s="76">
        <f t="shared" si="1"/>
        <v>1.2418280689394915E-11</v>
      </c>
    </row>
    <row r="45" spans="2:12" x14ac:dyDescent="0.25">
      <c r="B45" s="10">
        <v>1999</v>
      </c>
      <c r="C45" s="69">
        <f>' Per Cápita 07'!B44</f>
        <v>1.6053090000000001</v>
      </c>
      <c r="D45" s="2">
        <v>182.49723999999998</v>
      </c>
      <c r="E45" s="76">
        <f t="shared" si="1"/>
        <v>8.7963467283121668E-12</v>
      </c>
    </row>
    <row r="46" spans="2:12" x14ac:dyDescent="0.25">
      <c r="B46" s="10">
        <v>2000</v>
      </c>
      <c r="C46" s="69">
        <f>' Per Cápita 07'!B45</f>
        <v>1.5225580000000001</v>
      </c>
      <c r="D46" s="2">
        <v>173.83799999999999</v>
      </c>
      <c r="E46" s="76">
        <f t="shared" si="1"/>
        <v>8.7584877874802984E-12</v>
      </c>
    </row>
    <row r="47" spans="2:12" x14ac:dyDescent="0.25">
      <c r="B47" s="10">
        <v>2001</v>
      </c>
      <c r="C47" s="69">
        <f>' Per Cápita 07'!B46</f>
        <v>2.221114</v>
      </c>
      <c r="D47" s="2">
        <v>169.57254999999998</v>
      </c>
      <c r="E47" s="76">
        <f t="shared" si="1"/>
        <v>1.3098311017909447E-11</v>
      </c>
    </row>
    <row r="48" spans="2:12" x14ac:dyDescent="0.25">
      <c r="B48" s="10">
        <v>2002</v>
      </c>
      <c r="C48" s="69">
        <f>' Per Cápita 07'!B47</f>
        <v>2.882511</v>
      </c>
      <c r="D48" s="2">
        <v>193.08387999999999</v>
      </c>
      <c r="E48" s="76">
        <f t="shared" si="1"/>
        <v>1.4928801927949658E-11</v>
      </c>
    </row>
    <row r="49" spans="2:6" x14ac:dyDescent="0.25">
      <c r="B49" s="10">
        <v>2003</v>
      </c>
      <c r="C49" s="69">
        <f>' Per Cápita 07'!B48</f>
        <v>2.506888</v>
      </c>
      <c r="D49" s="2">
        <v>203.78914</v>
      </c>
      <c r="E49" s="76">
        <f t="shared" si="1"/>
        <v>1.2301381712489684E-11</v>
      </c>
    </row>
    <row r="50" spans="2:6" x14ac:dyDescent="0.25">
      <c r="B50" s="10">
        <v>2004</v>
      </c>
      <c r="C50" s="69">
        <f>' Per Cápita 07'!B49</f>
        <v>3.5586880000000001</v>
      </c>
      <c r="D50" s="2">
        <v>220.41551999999999</v>
      </c>
      <c r="E50" s="76">
        <f t="shared" si="1"/>
        <v>1.6145360363008923E-11</v>
      </c>
    </row>
    <row r="51" spans="2:6" x14ac:dyDescent="0.25">
      <c r="B51" s="10">
        <v>2005</v>
      </c>
      <c r="C51" s="69">
        <f>' Per Cápita 07'!B50</f>
        <v>3.428855</v>
      </c>
      <c r="D51" s="2">
        <v>255.02369000000002</v>
      </c>
      <c r="E51" s="76">
        <f t="shared" si="1"/>
        <v>1.3445241106816389E-11</v>
      </c>
    </row>
    <row r="52" spans="2:6" x14ac:dyDescent="0.25">
      <c r="B52" s="10">
        <v>2006</v>
      </c>
      <c r="C52" s="69">
        <f>' Per Cápita 07'!B51</f>
        <v>5.3733060000000004</v>
      </c>
      <c r="D52" s="2">
        <v>289.62955999999997</v>
      </c>
      <c r="E52" s="76">
        <f t="shared" si="1"/>
        <v>1.8552339754270942E-11</v>
      </c>
    </row>
    <row r="53" spans="2:6" x14ac:dyDescent="0.25">
      <c r="B53" s="10">
        <v>2007</v>
      </c>
      <c r="C53" s="69">
        <f>' Per Cápita 07'!B52</f>
        <v>3.6913179999999999</v>
      </c>
      <c r="D53" s="2">
        <v>315.86653999999999</v>
      </c>
      <c r="E53" s="76">
        <f t="shared" si="1"/>
        <v>1.1686321697765139E-11</v>
      </c>
    </row>
    <row r="54" spans="2:6" x14ac:dyDescent="0.25">
      <c r="B54" s="10">
        <v>2008</v>
      </c>
      <c r="C54" s="69">
        <f>' Per Cápita 07'!B53</f>
        <v>5.5052070000000004</v>
      </c>
      <c r="D54" s="2">
        <v>356.99453000000005</v>
      </c>
      <c r="E54" s="76">
        <f t="shared" si="1"/>
        <v>1.542098418146631E-11</v>
      </c>
    </row>
    <row r="55" spans="2:6" x14ac:dyDescent="0.25">
      <c r="B55" s="10">
        <v>2009</v>
      </c>
      <c r="C55" s="69">
        <f>' Per Cápita 07'!B54</f>
        <v>4.6945759999999996</v>
      </c>
      <c r="D55" s="2">
        <v>413.96373999999997</v>
      </c>
      <c r="E55" s="76">
        <f t="shared" si="1"/>
        <v>1.1340548812318684E-11</v>
      </c>
    </row>
    <row r="56" spans="2:6" x14ac:dyDescent="0.25">
      <c r="B56" s="10">
        <v>2010</v>
      </c>
      <c r="C56" s="69">
        <f>' Per Cápita 07'!B55</f>
        <v>5.8489870000000002</v>
      </c>
      <c r="D56" s="2">
        <v>476.72912000000002</v>
      </c>
      <c r="E56" s="76">
        <f t="shared" si="1"/>
        <v>1.2268994602217711E-11</v>
      </c>
    </row>
    <row r="57" spans="2:6" x14ac:dyDescent="0.25">
      <c r="B57" s="10">
        <v>2011</v>
      </c>
      <c r="C57" s="69">
        <f>' Per Cápita 07'!B56</f>
        <v>6.8179720000000001</v>
      </c>
      <c r="D57" s="2">
        <v>449.90528999999998</v>
      </c>
      <c r="E57" s="76">
        <f t="shared" si="1"/>
        <v>1.515423835092048E-11</v>
      </c>
    </row>
    <row r="58" spans="2:6" x14ac:dyDescent="0.25">
      <c r="B58" s="10">
        <v>2012</v>
      </c>
      <c r="C58" s="69">
        <f>' Per Cápita 07'!B57</f>
        <v>13.463668999999999</v>
      </c>
      <c r="D58" s="2">
        <v>494.70812999999998</v>
      </c>
      <c r="E58" s="76">
        <f t="shared" si="1"/>
        <v>2.7215378489939107E-11</v>
      </c>
    </row>
    <row r="59" spans="2:6" x14ac:dyDescent="0.25">
      <c r="B59" s="10">
        <v>2013</v>
      </c>
      <c r="C59" s="69">
        <f>' Per Cápita 07'!B58</f>
        <v>29.753143000000001</v>
      </c>
      <c r="D59" s="2">
        <v>585.44633999999996</v>
      </c>
      <c r="E59" s="76">
        <f t="shared" si="1"/>
        <v>5.0821298156890007E-11</v>
      </c>
    </row>
    <row r="60" spans="2:6" x14ac:dyDescent="0.25">
      <c r="B60" s="10">
        <v>2014</v>
      </c>
      <c r="C60" s="69">
        <f>' Per Cápita 07'!B59</f>
        <v>30.614239999999999</v>
      </c>
      <c r="D60" s="2">
        <v>607.30944999999997</v>
      </c>
      <c r="E60" s="76">
        <f t="shared" si="1"/>
        <v>5.0409622310339482E-11</v>
      </c>
    </row>
    <row r="61" spans="2:6" x14ac:dyDescent="0.25">
      <c r="B61" s="11">
        <v>2015</v>
      </c>
      <c r="C61" s="69">
        <f>' Per Cápita 07'!B60</f>
        <v>25.557029</v>
      </c>
      <c r="D61" s="2">
        <v>645.33130000000006</v>
      </c>
      <c r="E61" s="76">
        <f t="shared" si="1"/>
        <v>3.960295897626537E-11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90" x14ac:dyDescent="0.25">
      <c r="B67" s="12" t="s">
        <v>3</v>
      </c>
      <c r="C67" s="13" t="s">
        <v>83</v>
      </c>
      <c r="D67" s="13" t="s">
        <v>87</v>
      </c>
      <c r="E67" s="14" t="s">
        <v>82</v>
      </c>
    </row>
    <row r="68" spans="2:12" x14ac:dyDescent="0.25">
      <c r="B68" s="10">
        <v>1991</v>
      </c>
      <c r="C68" s="111">
        <f>' Per Cápita 07'!B65</f>
        <v>356.95325500000001</v>
      </c>
      <c r="D68" s="2">
        <f t="shared" ref="D68:D92" si="2">D37*2</f>
        <v>61.77328</v>
      </c>
      <c r="E68" s="41">
        <f t="shared" ref="E68:E92" si="3">(C68/D68)/100000000</f>
        <v>5.7784410185115637E-8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111">
        <f>' Per Cápita 07'!B66</f>
        <v>375.22349200000002</v>
      </c>
      <c r="D69" s="2">
        <f t="shared" si="2"/>
        <v>73.497559999999993</v>
      </c>
      <c r="E69" s="41">
        <f t="shared" si="3"/>
        <v>5.1052510042510264E-8</v>
      </c>
    </row>
    <row r="70" spans="2:12" x14ac:dyDescent="0.25">
      <c r="B70" s="10">
        <v>1993</v>
      </c>
      <c r="C70" s="111">
        <f>' Per Cápita 07'!B67</f>
        <v>237.70677699999999</v>
      </c>
      <c r="D70" s="2">
        <f t="shared" si="2"/>
        <v>108.32755999999999</v>
      </c>
      <c r="E70" s="41">
        <f t="shared" si="3"/>
        <v>2.1943333441646797E-8</v>
      </c>
    </row>
    <row r="71" spans="2:12" x14ac:dyDescent="0.25">
      <c r="B71" s="10">
        <v>1994</v>
      </c>
      <c r="C71" s="111">
        <f>' Per Cápita 07'!B68</f>
        <v>364.10657600000002</v>
      </c>
      <c r="D71" s="2">
        <f t="shared" si="2"/>
        <v>165.22766000000001</v>
      </c>
      <c r="E71" s="41">
        <f t="shared" si="3"/>
        <v>2.2036659963592054E-8</v>
      </c>
    </row>
    <row r="72" spans="2:12" x14ac:dyDescent="0.25">
      <c r="B72" s="10">
        <v>1995</v>
      </c>
      <c r="C72" s="111">
        <f>' Per Cápita 07'!B69</f>
        <v>416.73512799999997</v>
      </c>
      <c r="D72" s="2">
        <f t="shared" si="2"/>
        <v>194.95656</v>
      </c>
      <c r="E72" s="41">
        <f t="shared" si="3"/>
        <v>2.1375794074331224E-8</v>
      </c>
    </row>
    <row r="73" spans="2:12" x14ac:dyDescent="0.25">
      <c r="B73" s="10">
        <v>1996</v>
      </c>
      <c r="C73" s="111">
        <f>' Per Cápita 07'!B70</f>
        <v>414.56091800000002</v>
      </c>
      <c r="D73" s="2">
        <f t="shared" si="2"/>
        <v>274.80944</v>
      </c>
      <c r="E73" s="41">
        <f t="shared" si="3"/>
        <v>1.5085395829197136E-8</v>
      </c>
    </row>
    <row r="74" spans="2:12" x14ac:dyDescent="0.25">
      <c r="B74" s="10">
        <v>1997</v>
      </c>
      <c r="C74" s="111">
        <f>' Per Cápita 07'!B71</f>
        <v>705.07615199999998</v>
      </c>
      <c r="D74" s="2">
        <f t="shared" si="2"/>
        <v>336.80086</v>
      </c>
      <c r="E74" s="41">
        <f t="shared" si="3"/>
        <v>2.0934511628028504E-8</v>
      </c>
    </row>
    <row r="75" spans="2:12" x14ac:dyDescent="0.25">
      <c r="B75" s="10">
        <v>1998</v>
      </c>
      <c r="C75" s="111">
        <f>' Per Cápita 07'!B72</f>
        <v>574.91945999999996</v>
      </c>
      <c r="D75" s="2">
        <f t="shared" si="2"/>
        <v>369.28847999999999</v>
      </c>
      <c r="E75" s="41">
        <f t="shared" si="3"/>
        <v>1.5568302049389678E-8</v>
      </c>
    </row>
    <row r="76" spans="2:12" x14ac:dyDescent="0.25">
      <c r="B76" s="10">
        <v>1999</v>
      </c>
      <c r="C76" s="111">
        <f>' Per Cápita 07'!B73</f>
        <v>470.62626899999998</v>
      </c>
      <c r="D76" s="2">
        <f t="shared" si="2"/>
        <v>364.99447999999995</v>
      </c>
      <c r="E76" s="41">
        <f t="shared" si="3"/>
        <v>1.2894065384221702E-8</v>
      </c>
    </row>
    <row r="77" spans="2:12" x14ac:dyDescent="0.25">
      <c r="B77" s="10">
        <v>2000</v>
      </c>
      <c r="C77" s="111">
        <f>' Per Cápita 07'!B74</f>
        <v>390.75227100000001</v>
      </c>
      <c r="D77" s="2">
        <f t="shared" si="2"/>
        <v>347.67599999999999</v>
      </c>
      <c r="E77" s="41">
        <f t="shared" si="3"/>
        <v>1.1238977410002417E-8</v>
      </c>
    </row>
    <row r="78" spans="2:12" x14ac:dyDescent="0.25">
      <c r="B78" s="10">
        <v>2001</v>
      </c>
      <c r="C78" s="111">
        <f>' Per Cápita 07'!B75</f>
        <v>281.36294800000002</v>
      </c>
      <c r="D78" s="2">
        <f t="shared" si="2"/>
        <v>339.14509999999996</v>
      </c>
      <c r="E78" s="41">
        <f t="shared" si="3"/>
        <v>8.2962409894761874E-9</v>
      </c>
    </row>
    <row r="79" spans="2:12" x14ac:dyDescent="0.25">
      <c r="B79" s="10">
        <v>2002</v>
      </c>
      <c r="C79" s="111">
        <f>' Per Cápita 07'!B76</f>
        <v>299.72891200000004</v>
      </c>
      <c r="D79" s="2">
        <f t="shared" si="2"/>
        <v>386.16775999999999</v>
      </c>
      <c r="E79" s="41">
        <f t="shared" si="3"/>
        <v>7.7616244297556087E-9</v>
      </c>
    </row>
    <row r="80" spans="2:12" x14ac:dyDescent="0.25">
      <c r="B80" s="10">
        <v>2003</v>
      </c>
      <c r="C80" s="111">
        <f>' Per Cápita 07'!B77</f>
        <v>327.14183700000001</v>
      </c>
      <c r="D80" s="2">
        <f t="shared" si="2"/>
        <v>407.57828000000001</v>
      </c>
      <c r="E80" s="41">
        <f t="shared" si="3"/>
        <v>8.0264786680978199E-9</v>
      </c>
    </row>
    <row r="81" spans="2:5" x14ac:dyDescent="0.25">
      <c r="B81" s="10">
        <v>2004</v>
      </c>
      <c r="C81" s="111">
        <f>' Per Cápita 07'!B78</f>
        <v>383.77491300000003</v>
      </c>
      <c r="D81" s="2">
        <f t="shared" si="2"/>
        <v>440.83103999999997</v>
      </c>
      <c r="E81" s="41">
        <f t="shared" si="3"/>
        <v>8.7057143934329141E-9</v>
      </c>
    </row>
    <row r="82" spans="2:5" x14ac:dyDescent="0.25">
      <c r="B82" s="10">
        <v>2005</v>
      </c>
      <c r="C82" s="111">
        <f>' Per Cápita 07'!B79</f>
        <v>589.72288800000001</v>
      </c>
      <c r="D82" s="2">
        <f t="shared" si="2"/>
        <v>510.04738000000003</v>
      </c>
      <c r="E82" s="41">
        <f t="shared" si="3"/>
        <v>1.1562119738758388E-8</v>
      </c>
    </row>
    <row r="83" spans="2:5" x14ac:dyDescent="0.25">
      <c r="B83" s="10">
        <v>2006</v>
      </c>
      <c r="C83" s="111">
        <f>' Per Cápita 07'!B80</f>
        <v>584.81026599999996</v>
      </c>
      <c r="D83" s="2">
        <f t="shared" si="2"/>
        <v>579.25911999999994</v>
      </c>
      <c r="E83" s="41">
        <f t="shared" si="3"/>
        <v>1.009583182738668E-8</v>
      </c>
    </row>
    <row r="84" spans="2:5" x14ac:dyDescent="0.25">
      <c r="B84" s="10">
        <v>2007</v>
      </c>
      <c r="C84" s="111">
        <f>' Per Cápita 07'!B81</f>
        <v>661.88992400000006</v>
      </c>
      <c r="D84" s="2">
        <f t="shared" si="2"/>
        <v>631.73307999999997</v>
      </c>
      <c r="E84" s="41">
        <f t="shared" si="3"/>
        <v>1.0477366865132345E-8</v>
      </c>
    </row>
    <row r="85" spans="2:5" x14ac:dyDescent="0.25">
      <c r="B85" s="10">
        <v>2008</v>
      </c>
      <c r="C85" s="111">
        <f>' Per Cápita 07'!B82</f>
        <v>789.53349500000002</v>
      </c>
      <c r="D85" s="2">
        <f t="shared" si="2"/>
        <v>713.98906000000011</v>
      </c>
      <c r="E85" s="41">
        <f t="shared" si="3"/>
        <v>1.1058061519878188E-8</v>
      </c>
    </row>
    <row r="86" spans="2:5" x14ac:dyDescent="0.25">
      <c r="B86" s="10">
        <v>2009</v>
      </c>
      <c r="C86" s="111">
        <f>' Per Cápita 07'!B83</f>
        <v>771.74862999999993</v>
      </c>
      <c r="D86" s="2">
        <f t="shared" si="2"/>
        <v>827.92747999999995</v>
      </c>
      <c r="E86" s="41">
        <f t="shared" si="3"/>
        <v>9.3214520431185593E-9</v>
      </c>
    </row>
    <row r="87" spans="2:5" x14ac:dyDescent="0.25">
      <c r="B87" s="10">
        <v>2010</v>
      </c>
      <c r="C87" s="111">
        <f>' Per Cápita 07'!B84</f>
        <v>885.08941900000002</v>
      </c>
      <c r="D87" s="2">
        <f t="shared" si="2"/>
        <v>953.45824000000005</v>
      </c>
      <c r="E87" s="41">
        <f t="shared" si="3"/>
        <v>9.2829384850667394E-9</v>
      </c>
    </row>
    <row r="88" spans="2:5" x14ac:dyDescent="0.25">
      <c r="B88" s="10">
        <v>2011</v>
      </c>
      <c r="C88" s="111">
        <f>' Per Cápita 07'!B85</f>
        <v>1260.31934</v>
      </c>
      <c r="D88" s="2">
        <f t="shared" si="2"/>
        <v>899.81057999999996</v>
      </c>
      <c r="E88" s="41">
        <f t="shared" si="3"/>
        <v>1.4006496122772862E-8</v>
      </c>
    </row>
    <row r="89" spans="2:5" x14ac:dyDescent="0.25">
      <c r="B89" s="10">
        <v>2012</v>
      </c>
      <c r="C89" s="111">
        <f>' Per Cápita 07'!B86</f>
        <v>938.820425</v>
      </c>
      <c r="D89" s="2">
        <f t="shared" si="2"/>
        <v>989.41625999999997</v>
      </c>
      <c r="E89" s="41">
        <f t="shared" si="3"/>
        <v>9.4886294369166728E-9</v>
      </c>
    </row>
    <row r="90" spans="2:5" x14ac:dyDescent="0.25">
      <c r="B90" s="10">
        <v>2013</v>
      </c>
      <c r="C90" s="111">
        <f>' Per Cápita 07'!B87</f>
        <v>989.38817500000005</v>
      </c>
      <c r="D90" s="2">
        <f t="shared" si="2"/>
        <v>1170.8926799999999</v>
      </c>
      <c r="E90" s="41">
        <f t="shared" si="3"/>
        <v>8.4498621598693412E-9</v>
      </c>
    </row>
    <row r="91" spans="2:5" x14ac:dyDescent="0.25">
      <c r="B91" s="10">
        <v>2014</v>
      </c>
      <c r="C91" s="111">
        <f>' Per Cápita 07'!B88</f>
        <v>1169.1284840000001</v>
      </c>
      <c r="D91" s="2">
        <f t="shared" si="2"/>
        <v>1214.6188999999999</v>
      </c>
      <c r="E91" s="41">
        <f t="shared" si="3"/>
        <v>9.6254758097375251E-9</v>
      </c>
    </row>
    <row r="92" spans="2:5" x14ac:dyDescent="0.25">
      <c r="B92" s="11">
        <v>2015</v>
      </c>
      <c r="C92" s="111">
        <f>' Per Cápita 07'!B89</f>
        <v>1203.9165170000001</v>
      </c>
      <c r="D92" s="2">
        <f t="shared" si="2"/>
        <v>1290.6626000000001</v>
      </c>
      <c r="E92" s="41">
        <f t="shared" si="3"/>
        <v>9.3278949665079009E-9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A31" zoomScaleNormal="100" workbookViewId="0">
      <selection activeCell="K31" sqref="K31:O33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19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74">
        <f>'Balanza c 07'!B2</f>
        <v>355.71349699999996</v>
      </c>
      <c r="C5" s="27">
        <v>881.41649700000005</v>
      </c>
      <c r="D5" s="2">
        <v>1806.394</v>
      </c>
      <c r="E5" s="5">
        <v>218.072048</v>
      </c>
      <c r="F5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0.32352633287325416</v>
      </c>
      <c r="G5" s="7" t="s">
        <v>96</v>
      </c>
      <c r="L5" s="49" t="s">
        <v>97</v>
      </c>
    </row>
    <row r="6" spans="1:17" x14ac:dyDescent="0.25">
      <c r="A6" s="10">
        <v>1992</v>
      </c>
      <c r="B6" s="74">
        <f>'Balanza c 07'!B3</f>
        <v>372.09926000000002</v>
      </c>
      <c r="C6" s="27">
        <v>983.24995899999999</v>
      </c>
      <c r="D6" s="2">
        <v>3152.6379999999999</v>
      </c>
      <c r="E6" s="5">
        <v>433.62799100000001</v>
      </c>
      <c r="F6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0.26261913384988456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74">
        <f>'Balanza c 07'!B4</f>
        <v>233.94672700000001</v>
      </c>
      <c r="C7" s="27">
        <v>959.41936999999996</v>
      </c>
      <c r="D7" s="2">
        <v>3215.2869999999998</v>
      </c>
      <c r="E7" s="5">
        <v>473.60294699999997</v>
      </c>
      <c r="F7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0.16325407094131111</v>
      </c>
      <c r="G7" s="1"/>
      <c r="M7" s="49"/>
      <c r="N7" s="49"/>
      <c r="O7" s="49"/>
    </row>
    <row r="8" spans="1:17" x14ac:dyDescent="0.25">
      <c r="A8" s="10">
        <v>1994</v>
      </c>
      <c r="B8" s="74">
        <f>'Balanza c 07'!B5</f>
        <v>360.28414399999997</v>
      </c>
      <c r="C8" s="27">
        <v>1017.331577</v>
      </c>
      <c r="D8" s="2">
        <v>4474.9809999999998</v>
      </c>
      <c r="E8" s="5">
        <v>632.10264900000004</v>
      </c>
      <c r="F8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0.21842892448868098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74">
        <f>'Balanza c 07'!B6</f>
        <v>411.79504800000001</v>
      </c>
      <c r="C9" s="27">
        <v>1038.4779860000001</v>
      </c>
      <c r="D9" s="2">
        <v>3992.277</v>
      </c>
      <c r="E9" s="5">
        <v>792.92823299999998</v>
      </c>
      <c r="F9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0.22485183446895352</v>
      </c>
      <c r="G9" s="1"/>
    </row>
    <row r="10" spans="1:17" x14ac:dyDescent="0.25">
      <c r="A10" s="10">
        <v>1996</v>
      </c>
      <c r="B10" s="74">
        <f>'Balanza c 07'!B7</f>
        <v>410.11793</v>
      </c>
      <c r="C10" s="27">
        <v>1068.2126330000001</v>
      </c>
      <c r="D10" s="2">
        <v>5379.8019999999997</v>
      </c>
      <c r="E10" s="5">
        <v>1032.147324</v>
      </c>
      <c r="F10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0.19526078310204614</v>
      </c>
      <c r="G10" s="1"/>
      <c r="H10" s="114"/>
    </row>
    <row r="11" spans="1:17" x14ac:dyDescent="0.25">
      <c r="A11" s="10">
        <v>1997</v>
      </c>
      <c r="B11" s="74">
        <f>'Balanza c 07'!B8</f>
        <v>701.25588000000005</v>
      </c>
      <c r="C11" s="27">
        <v>1133.477727</v>
      </c>
      <c r="D11" s="2">
        <v>3821.105</v>
      </c>
      <c r="E11" s="5">
        <v>969.76201700000001</v>
      </c>
      <c r="F11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0.33341699727789093</v>
      </c>
      <c r="G11" s="1"/>
    </row>
    <row r="12" spans="1:17" x14ac:dyDescent="0.25">
      <c r="A12" s="10">
        <v>1998</v>
      </c>
      <c r="B12" s="74">
        <f>'Balanza c 07'!B9</f>
        <v>570.33353199999999</v>
      </c>
      <c r="C12" s="27">
        <v>1185.2250309999999</v>
      </c>
      <c r="D12" s="2">
        <v>3538.69</v>
      </c>
      <c r="E12" s="5">
        <v>942.82702099999995</v>
      </c>
      <c r="F12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0.26800732221939089</v>
      </c>
      <c r="G12" s="1"/>
    </row>
    <row r="13" spans="1:17" x14ac:dyDescent="0.25">
      <c r="A13" s="10">
        <v>1999</v>
      </c>
      <c r="B13" s="74">
        <f>'Balanza c 07'!B10</f>
        <v>467.41565100000003</v>
      </c>
      <c r="C13" s="27">
        <v>1221.7329010000001</v>
      </c>
      <c r="D13" s="2">
        <v>3328.6469999999999</v>
      </c>
      <c r="E13" s="5">
        <v>718.368246</v>
      </c>
      <c r="F13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0.24092334140556024</v>
      </c>
      <c r="G13" s="1"/>
    </row>
    <row r="14" spans="1:17" x14ac:dyDescent="0.25">
      <c r="A14" s="10">
        <v>2000</v>
      </c>
      <c r="B14" s="74">
        <f>'Balanza c 07'!B11</f>
        <v>387.707155</v>
      </c>
      <c r="C14" s="27">
        <v>1182.814787</v>
      </c>
      <c r="D14" s="2">
        <v>2423.2669999999998</v>
      </c>
      <c r="E14" s="5">
        <v>800.71074399999998</v>
      </c>
      <c r="F14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0.19546365748291444</v>
      </c>
      <c r="G14" s="1"/>
    </row>
    <row r="15" spans="1:17" x14ac:dyDescent="0.25">
      <c r="A15" s="10">
        <v>2001</v>
      </c>
      <c r="B15" s="74">
        <f>'Balanza c 07'!B12</f>
        <v>276.92072000000002</v>
      </c>
      <c r="C15" s="27">
        <v>1144.9792580000001</v>
      </c>
      <c r="D15" s="2">
        <v>3458.69</v>
      </c>
      <c r="E15" s="5">
        <v>806.63776399999995</v>
      </c>
      <c r="F15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0.1418929620301293</v>
      </c>
      <c r="G15" s="1"/>
    </row>
    <row r="16" spans="1:17" x14ac:dyDescent="0.25">
      <c r="A16" s="10">
        <v>2002</v>
      </c>
      <c r="B16" s="74">
        <f>'Balanza c 07'!B13</f>
        <v>293.96388999999999</v>
      </c>
      <c r="C16" s="27">
        <v>1201.0997769999999</v>
      </c>
      <c r="D16" s="2">
        <v>3495.8850000000002</v>
      </c>
      <c r="E16" s="5">
        <v>914.29077400000006</v>
      </c>
      <c r="F16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0.13896435807611773</v>
      </c>
      <c r="G16" s="1"/>
    </row>
    <row r="17" spans="1:7" x14ac:dyDescent="0.25">
      <c r="A17" s="10">
        <v>2003</v>
      </c>
      <c r="B17" s="74">
        <f>'Balanza c 07'!B14</f>
        <v>322.128061</v>
      </c>
      <c r="C17" s="27">
        <v>1198.522637</v>
      </c>
      <c r="D17" s="2">
        <v>4221.4390000000003</v>
      </c>
      <c r="E17" s="5">
        <v>964.07554868999978</v>
      </c>
      <c r="F17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0.14895418997922708</v>
      </c>
      <c r="G17" s="1"/>
    </row>
    <row r="18" spans="1:7" x14ac:dyDescent="0.25">
      <c r="A18" s="10">
        <v>2004</v>
      </c>
      <c r="B18" s="74">
        <f>'Balanza c 07'!B15</f>
        <v>376.65753699999999</v>
      </c>
      <c r="C18" s="27">
        <v>1414.1092617499999</v>
      </c>
      <c r="D18" s="2">
        <v>2268.058</v>
      </c>
      <c r="E18" s="5">
        <v>1096.5766716700007</v>
      </c>
      <c r="F18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0.15002176575981585</v>
      </c>
      <c r="G18" s="1"/>
    </row>
    <row r="19" spans="1:7" x14ac:dyDescent="0.25">
      <c r="A19" s="10">
        <v>2005</v>
      </c>
      <c r="B19" s="74">
        <f>'Balanza c 07'!B16</f>
        <v>582.86517800000001</v>
      </c>
      <c r="C19" s="27">
        <v>1724.6291241099998</v>
      </c>
      <c r="D19" s="2">
        <v>3775.5949999999998</v>
      </c>
      <c r="E19" s="5">
        <v>1034.5303382900004</v>
      </c>
      <c r="F19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0.21124736933218291</v>
      </c>
      <c r="G19" s="1"/>
    </row>
    <row r="20" spans="1:7" x14ac:dyDescent="0.25">
      <c r="A20" s="10">
        <v>2006</v>
      </c>
      <c r="B20" s="74">
        <f>'Balanza c 07'!B17</f>
        <v>574.06365400000004</v>
      </c>
      <c r="C20" s="27">
        <v>1872.3784980099981</v>
      </c>
      <c r="D20" s="2">
        <v>3769.5279999999998</v>
      </c>
      <c r="E20" s="5">
        <v>1257.3132665799999</v>
      </c>
      <c r="F20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0.18342498149341063</v>
      </c>
      <c r="G20" s="1"/>
    </row>
    <row r="21" spans="1:7" x14ac:dyDescent="0.25">
      <c r="A21" s="10">
        <v>2007</v>
      </c>
      <c r="B21" s="74">
        <f>'Balanza c 07'!B18</f>
        <v>654.50728800000002</v>
      </c>
      <c r="C21" s="26">
        <v>2122.5042788000019</v>
      </c>
      <c r="D21" s="2">
        <v>4219.6670000000004</v>
      </c>
      <c r="E21" s="5">
        <v>1695.4131790200004</v>
      </c>
      <c r="F21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0.17143044479901301</v>
      </c>
      <c r="G21" s="1"/>
    </row>
    <row r="22" spans="1:7" x14ac:dyDescent="0.25">
      <c r="A22" s="10">
        <v>2008</v>
      </c>
      <c r="B22" s="74">
        <f>'Balanza c 07'!B19</f>
        <v>778.52308099999993</v>
      </c>
      <c r="C22" s="26">
        <v>2146.3400352200028</v>
      </c>
      <c r="D22" s="2">
        <v>4908.3850000000002</v>
      </c>
      <c r="E22" s="5">
        <v>2236.8973823599977</v>
      </c>
      <c r="F22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0.17761371489428127</v>
      </c>
      <c r="G22" s="1"/>
    </row>
    <row r="23" spans="1:7" x14ac:dyDescent="0.25">
      <c r="A23" s="10">
        <v>2009</v>
      </c>
      <c r="B23" s="74">
        <f>'Balanza c 07'!B20</f>
        <v>762.35947799999997</v>
      </c>
      <c r="C23" s="26">
        <v>2095.9589286500013</v>
      </c>
      <c r="D23" s="2">
        <v>4795.9279999999999</v>
      </c>
      <c r="E23" s="5">
        <v>1750.4526144300014</v>
      </c>
      <c r="F23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0.19820018462963088</v>
      </c>
      <c r="G23" s="1"/>
    </row>
    <row r="24" spans="1:7" x14ac:dyDescent="0.25">
      <c r="A24" s="10">
        <v>2010</v>
      </c>
      <c r="B24" s="74">
        <f>'Balanza c 07'!B21</f>
        <v>873.39144500000009</v>
      </c>
      <c r="C24" s="26">
        <v>2166.04730251</v>
      </c>
      <c r="D24" s="2">
        <v>912.50599999999997</v>
      </c>
      <c r="E24" s="5">
        <v>2018.9772672800029</v>
      </c>
      <c r="F24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0.20869446055458293</v>
      </c>
      <c r="G24" s="1"/>
    </row>
    <row r="25" spans="1:7" x14ac:dyDescent="0.25">
      <c r="A25" s="10">
        <v>2011</v>
      </c>
      <c r="B25" s="74">
        <f>'Balanza c 07'!B22</f>
        <v>1246.6833959999999</v>
      </c>
      <c r="C25" s="26">
        <v>2284.3647235700028</v>
      </c>
      <c r="D25" s="2">
        <v>1611.5440000000001</v>
      </c>
      <c r="E25" s="5">
        <v>2563.9037290099977</v>
      </c>
      <c r="F25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0.25713992700560523</v>
      </c>
      <c r="G25" s="1"/>
    </row>
    <row r="26" spans="1:7" x14ac:dyDescent="0.25">
      <c r="A26" s="10">
        <v>2012</v>
      </c>
      <c r="B26" s="74">
        <f>'Balanza c 07'!B23</f>
        <v>911.89308700000004</v>
      </c>
      <c r="C26" s="26">
        <v>2636.1765412600002</v>
      </c>
      <c r="D26" s="2">
        <v>1734.827</v>
      </c>
      <c r="E26" s="5">
        <v>2705.0876101299973</v>
      </c>
      <c r="F26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0.17072607928643468</v>
      </c>
      <c r="G26" s="1"/>
    </row>
    <row r="27" spans="1:7" x14ac:dyDescent="0.25">
      <c r="A27" s="10">
        <v>2013</v>
      </c>
      <c r="B27" s="74">
        <f>'Balanza c 07'!B24</f>
        <v>929.881889</v>
      </c>
      <c r="C27" s="26">
        <v>2651.0931387399996</v>
      </c>
      <c r="D27" s="2">
        <v>1652.723</v>
      </c>
      <c r="E27" s="5">
        <v>2581.5323848800022</v>
      </c>
      <c r="F27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0.17770847250630217</v>
      </c>
      <c r="G27" s="1"/>
    </row>
    <row r="28" spans="1:7" x14ac:dyDescent="0.25">
      <c r="A28" s="10">
        <v>2014</v>
      </c>
      <c r="B28" s="74">
        <f>'Balanza c 07'!B25</f>
        <v>1107.9000039999999</v>
      </c>
      <c r="C28" s="26">
        <v>2568.3085408999968</v>
      </c>
      <c r="D28" s="2">
        <v>1246.8779999999999</v>
      </c>
      <c r="E28" s="5">
        <v>2532.8550979199972</v>
      </c>
      <c r="F28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0.21718574083153316</v>
      </c>
      <c r="G28" s="1"/>
    </row>
    <row r="29" spans="1:7" x14ac:dyDescent="0.25">
      <c r="A29" s="11">
        <v>2015</v>
      </c>
      <c r="B29" s="74">
        <f>'Balanza c 07'!B26</f>
        <v>1152.802459</v>
      </c>
      <c r="C29" s="3">
        <v>2443.4283642899991</v>
      </c>
      <c r="D29" s="2">
        <v>520.46799999999996</v>
      </c>
      <c r="E29" s="5">
        <v>2376.0279714999997</v>
      </c>
      <c r="F29" s="113">
        <f>(Tabla191011133145129[[#This Row],[Total Balanza Comercial de Colombia (US$ millones)]])/(Tabla191011133145129[[#This Row],[Total exportaciones de Colombia hacia el mundo
  (US$ millones FOB)]]+Tabla191011133145129[[#This Row],[Total Importaciones Colombia (US$millones CIF)]])</f>
        <v>0.23919761456061292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20</v>
      </c>
      <c r="C33" s="29" t="s">
        <v>121</v>
      </c>
      <c r="D33" s="29" t="s">
        <v>159</v>
      </c>
      <c r="E33" s="29" t="s">
        <v>160</v>
      </c>
      <c r="F33" s="29" t="s">
        <v>23</v>
      </c>
      <c r="G33" s="28" t="s">
        <v>24</v>
      </c>
    </row>
    <row r="34" spans="1:17" x14ac:dyDescent="0.25">
      <c r="A34" s="31">
        <v>1991</v>
      </c>
      <c r="B34" s="73">
        <f>'Participación Mundial 07'!C6</f>
        <v>356.33337599999999</v>
      </c>
      <c r="C34" s="26">
        <v>2823.8</v>
      </c>
      <c r="D34" s="27">
        <v>1420.1338880000001</v>
      </c>
      <c r="E34" s="27">
        <v>7.2686346239999997</v>
      </c>
      <c r="F34" s="32">
        <f>((Tabla19101113143246130[[#This Row],[Total exportaciones del grupo
 a USA (US$ millones)]]*1000)/(Tabla19101113143246130[[#This Row],[Total exportaciones
 a USA (US$ miles)]])/((D34/1000)/E34))</f>
        <v>645.87149270185296</v>
      </c>
      <c r="G34" s="98" t="str">
        <f>IF(Tabla19101113143246130[[#This Row],[Indice de Balassa]]&gt;0.33,"VENTAJA","NO VENTAJA")</f>
        <v>VENTAJA</v>
      </c>
    </row>
    <row r="35" spans="1:17" x14ac:dyDescent="0.25">
      <c r="A35" s="31">
        <v>1992</v>
      </c>
      <c r="B35" s="73">
        <f>'Participación Mundial 07'!C7</f>
        <v>373.66137600000002</v>
      </c>
      <c r="C35" s="26">
        <v>2722.5</v>
      </c>
      <c r="D35" s="27">
        <v>1340.4218880000001</v>
      </c>
      <c r="E35" s="27">
        <v>6.9160427520000001</v>
      </c>
      <c r="F35" s="32">
        <f>((Tabla19101113143246130[[#This Row],[Total exportaciones del grupo
 a USA (US$ millones)]]*1000)/(Tabla19101113143246130[[#This Row],[Total exportaciones
 a USA (US$ miles)]])/((D35/1000)/E35))</f>
        <v>708.15198794968842</v>
      </c>
      <c r="G35" s="98" t="str">
        <f>IF(Tabla19101113143246130[[#This Row],[Indice de Balassa]]&gt;0.33,"VENTAJA","NO VENTAJA")</f>
        <v>VENTAJA</v>
      </c>
    </row>
    <row r="36" spans="1:17" x14ac:dyDescent="0.25">
      <c r="A36" s="31">
        <v>1993</v>
      </c>
      <c r="B36" s="73">
        <f>'Participación Mundial 07'!C8</f>
        <v>235.826752</v>
      </c>
      <c r="C36" s="26">
        <v>2850.21</v>
      </c>
      <c r="D36" s="27">
        <v>1230.7910400000001</v>
      </c>
      <c r="E36" s="27">
        <v>7.1234385920000003</v>
      </c>
      <c r="F36" s="32">
        <f>((Tabla19101113143246130[[#This Row],[Total exportaciones del grupo
 a USA (US$ millones)]]*1000)/(Tabla19101113143246130[[#This Row],[Total exportaciones
 a USA (US$ miles)]])/((D36/1000)/E36))</f>
        <v>478.87434273684795</v>
      </c>
      <c r="G36" s="98" t="str">
        <f>IF(Tabla19101113143246130[[#This Row],[Indice de Balassa]]&gt;0.33,"VENTAJA","NO VENTAJA")</f>
        <v>VENTAJA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f>'Participación Mundial 07'!C9</f>
        <v>362.19535999999999</v>
      </c>
      <c r="C37" s="26">
        <v>3164.92</v>
      </c>
      <c r="D37" s="27">
        <v>2126.260096</v>
      </c>
      <c r="E37" s="27">
        <v>8.5375165440000007</v>
      </c>
      <c r="F37" s="32">
        <f>((Tabla19101113143246130[[#This Row],[Total exportaciones del grupo
 a USA (US$ millones)]]*1000)/(Tabla19101113143246130[[#This Row],[Total exportaciones
 a USA (US$ miles)]])/((D37/1000)/E37))</f>
        <v>459.51036821555914</v>
      </c>
      <c r="G37" s="98" t="str">
        <f>IF(Tabla19101113143246130[[#This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>
        <f>'Participación Mundial 07'!C10</f>
        <v>414.26508799999999</v>
      </c>
      <c r="C38" s="26">
        <v>3627.72</v>
      </c>
      <c r="D38" s="27">
        <v>1982.3394559999999</v>
      </c>
      <c r="E38" s="27">
        <v>10.201048064</v>
      </c>
      <c r="F38" s="32">
        <f>((Tabla19101113143246130[[#This Row],[Total exportaciones del grupo
 a USA (US$ millones)]]*1000)/(Tabla19101113143246130[[#This Row],[Total exportaciones
 a USA (US$ miles)]])/((D38/1000)/E38))</f>
        <v>587.63999209131748</v>
      </c>
      <c r="G38" s="98" t="str">
        <f>IF(Tabla19101113143246130[[#This Row],[Indice de Balassa]]&gt;0.33,"VENTAJA","NO VENTAJA")</f>
        <v>VENTAJA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f>'Participación Mundial 07'!C11</f>
        <v>412.33942400000001</v>
      </c>
      <c r="C39" s="26">
        <v>4282.93</v>
      </c>
      <c r="D39" s="27">
        <v>1744.1073919999999</v>
      </c>
      <c r="E39" s="27">
        <v>10.647555071999999</v>
      </c>
      <c r="F39" s="32">
        <f>((Tabla19101113143246130[[#This Row],[Total exportaciones del grupo
 a USA (US$ millones)]]*1000)/(Tabla19101113143246130[[#This Row],[Total exportaciones
 a USA (US$ miles)]])/((D39/1000)/E39))</f>
        <v>587.74718240595109</v>
      </c>
      <c r="G39" s="98" t="str">
        <f>IF(Tabla19101113143246130[[#This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>
        <f>'Participación Mundial 07'!C12</f>
        <v>703.16601600000001</v>
      </c>
      <c r="C40" s="26">
        <v>4379.28</v>
      </c>
      <c r="D40" s="27">
        <v>2449.618688</v>
      </c>
      <c r="E40" s="27">
        <v>11.549019136</v>
      </c>
      <c r="F40" s="32">
        <f>((Tabla19101113143246130[[#This Row],[Total exportaciones del grupo
 a USA (US$ millones)]]*1000)/(Tabla19101113143246130[[#This Row],[Total exportaciones
 a USA (US$ miles)]])/((D40/1000)/E40))</f>
        <v>757.01027406246635</v>
      </c>
      <c r="G40" s="98" t="str">
        <f>IF(Tabla19101113143246130[[#This Row],[Indice de Balassa]]&gt;0.33,"VENTAJA","NO VENTAJA")</f>
        <v>VENTAJA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>
        <f>'Participación Mundial 07'!C13</f>
        <v>572.62649599999997</v>
      </c>
      <c r="C41" s="26">
        <v>4139.68</v>
      </c>
      <c r="D41" s="27">
        <v>2059.25504</v>
      </c>
      <c r="E41" s="27">
        <v>10.8212224</v>
      </c>
      <c r="F41" s="32">
        <f>((Tabla19101113143246130[[#This Row],[Total exportaciones del grupo
 a USA (US$ millones)]]*1000)/(Tabla19101113143246130[[#This Row],[Total exportaciones
 a USA (US$ miles)]])/((D41/1000)/E41))</f>
        <v>726.89361403512191</v>
      </c>
      <c r="G41" s="98" t="str">
        <f>IF(Tabla19101113143246130[[#This Row],[Indice de Balassa]]&gt;0.33,"VENTAJA","NO VENTAJA")</f>
        <v>VENTAJA</v>
      </c>
      <c r="M41" t="s">
        <v>101</v>
      </c>
    </row>
    <row r="42" spans="1:17" x14ac:dyDescent="0.25">
      <c r="A42" s="31">
        <v>1999</v>
      </c>
      <c r="B42" s="73">
        <f>'Participación Mundial 07'!C14</f>
        <v>469.02096</v>
      </c>
      <c r="C42" s="26">
        <v>5817.43</v>
      </c>
      <c r="D42" s="27">
        <v>1475.7386240000001</v>
      </c>
      <c r="E42" s="27">
        <v>11.617030143999999</v>
      </c>
      <c r="F42" s="32">
        <f>((Tabla19101113143246130[[#This Row],[Total exportaciones del grupo
 a USA (US$ millones)]]*1000)/(Tabla19101113143246130[[#This Row],[Total exportaciones
 a USA (US$ miles)]])/((D42/1000)/E42))</f>
        <v>634.66822731003754</v>
      </c>
      <c r="G42" s="98" t="str">
        <f>IF(Tabla19101113143246130[[#This Row],[Indice de Balassa]]&gt;0.33,"VENTAJA","NO VENTAJA")</f>
        <v>VENTAJA</v>
      </c>
    </row>
    <row r="43" spans="1:17" x14ac:dyDescent="0.25">
      <c r="A43" s="31">
        <v>2000</v>
      </c>
      <c r="B43" s="73">
        <f>'Participación Mundial 07'!C15</f>
        <v>389.229713</v>
      </c>
      <c r="C43" s="26">
        <v>6632.13</v>
      </c>
      <c r="D43" s="27">
        <v>1191.055922</v>
      </c>
      <c r="E43" s="27">
        <v>13.158400846999999</v>
      </c>
      <c r="F43" s="32">
        <f>((Tabla19101113143246130[[#This Row],[Total exportaciones del grupo
 a USA (US$ millones)]]*1000)/(Tabla19101113143246130[[#This Row],[Total exportaciones
 a USA (US$ miles)]])/((D43/1000)/E43))</f>
        <v>648.37149760074396</v>
      </c>
      <c r="G43" s="98" t="str">
        <f>IF(Tabla19101113143246130[[#This Row],[Indice de Balassa]]&gt;0.33,"VENTAJA","NO VENTAJA")</f>
        <v>VENTAJA</v>
      </c>
    </row>
    <row r="44" spans="1:17" x14ac:dyDescent="0.25">
      <c r="A44" s="31">
        <v>2001</v>
      </c>
      <c r="B44" s="73">
        <f>'Participación Mundial 07'!C16</f>
        <v>279.14183400000002</v>
      </c>
      <c r="C44" s="26">
        <v>5344.53</v>
      </c>
      <c r="D44" s="27">
        <v>891.86386700000003</v>
      </c>
      <c r="E44" s="27">
        <v>12.301486486</v>
      </c>
      <c r="F44" s="32">
        <f>((Tabla19101113143246130[[#This Row],[Total exportaciones del grupo
 a USA (US$ millones)]]*1000)/(Tabla19101113143246130[[#This Row],[Total exportaciones
 a USA (US$ miles)]])/((D44/1000)/E44))</f>
        <v>720.40120889712557</v>
      </c>
      <c r="G44" s="98" t="str">
        <f>IF(Tabla19101113143246130[[#This Row],[Indice de Balassa]]&gt;0.33,"VENTAJA","NO VENTAJA")</f>
        <v>VENTAJA</v>
      </c>
    </row>
    <row r="45" spans="1:17" x14ac:dyDescent="0.25">
      <c r="A45" s="31">
        <v>2002</v>
      </c>
      <c r="B45" s="73">
        <f>'Participación Mundial 07'!C17</f>
        <v>296.84640100000001</v>
      </c>
      <c r="C45" s="26">
        <v>5328.47</v>
      </c>
      <c r="D45" s="27">
        <v>900.22368700000004</v>
      </c>
      <c r="E45" s="27">
        <v>11.897488381000001</v>
      </c>
      <c r="F45" s="32">
        <f>((Tabla19101113143246130[[#This Row],[Total exportaciones del grupo
 a USA (US$ millones)]]*1000)/(Tabla19101113143246130[[#This Row],[Total exportaciones
 a USA (US$ miles)]])/((D45/1000)/E45))</f>
        <v>736.26493277185989</v>
      </c>
      <c r="G45" s="98" t="str">
        <f>IF(Tabla19101113143246130[[#This Row],[Indice de Balassa]]&gt;0.33,"VENTAJA","NO VENTAJA")</f>
        <v>VENTAJA</v>
      </c>
    </row>
    <row r="46" spans="1:17" x14ac:dyDescent="0.25">
      <c r="A46" s="31">
        <v>2003</v>
      </c>
      <c r="B46" s="73">
        <f>'Participación Mundial 07'!C18</f>
        <v>324.63494900000001</v>
      </c>
      <c r="C46" s="26">
        <v>6160.2</v>
      </c>
      <c r="D46" s="27">
        <v>928.76643799999999</v>
      </c>
      <c r="E46" s="27">
        <v>13.092218068999999</v>
      </c>
      <c r="F46" s="32">
        <f>((Tabla19101113143246130[[#This Row],[Total exportaciones del grupo
 a USA (US$ millones)]]*1000)/(Tabla19101113143246130[[#This Row],[Total exportaciones
 a USA (US$ miles)]])/((D46/1000)/E46))</f>
        <v>742.86034779366514</v>
      </c>
      <c r="G46" s="98" t="str">
        <f>IF(Tabla19101113143246130[[#This Row],[Indice de Balassa]]&gt;0.33,"VENTAJA","NO VENTAJA")</f>
        <v>VENTAJA</v>
      </c>
    </row>
    <row r="47" spans="1:17" x14ac:dyDescent="0.25">
      <c r="A47" s="31">
        <v>2004</v>
      </c>
      <c r="B47" s="73">
        <f>'Participación Mundial 07'!C19</f>
        <v>380.21622500000001</v>
      </c>
      <c r="C47" s="26">
        <v>7042.2</v>
      </c>
      <c r="D47" s="27">
        <v>1104.2207699999999</v>
      </c>
      <c r="E47" s="27">
        <v>16.729677706</v>
      </c>
      <c r="F47" s="32">
        <f>((Tabla19101113143246130[[#This Row],[Total exportaciones del grupo
 a USA (US$ millones)]]*1000)/(Tabla19101113143246130[[#This Row],[Total exportaciones
 a USA (US$ miles)]])/((D47/1000)/E47))</f>
        <v>818.00122355379381</v>
      </c>
      <c r="G47" s="98" t="str">
        <f>IF(Tabla19101113143246130[[#This Row],[Indice de Balassa]]&gt;0.33,"VENTAJA","NO VENTAJA")</f>
        <v>VENTAJA</v>
      </c>
    </row>
    <row r="48" spans="1:17" x14ac:dyDescent="0.25">
      <c r="A48" s="31">
        <v>2005</v>
      </c>
      <c r="B48" s="73">
        <f>'Participación Mundial 07'!C20</f>
        <v>586.29403300000001</v>
      </c>
      <c r="C48" s="26">
        <v>8851.6299999999992</v>
      </c>
      <c r="D48" s="27">
        <v>1688.449108</v>
      </c>
      <c r="E48" s="27">
        <v>21.190438735000001</v>
      </c>
      <c r="F48" s="32">
        <f>((Tabla19101113143246130[[#This Row],[Total exportaciones del grupo
 a USA (US$ millones)]]*1000)/(Tabla19101113143246130[[#This Row],[Total exportaciones
 a USA (US$ miles)]])/((D48/1000)/E48))</f>
        <v>831.2739973407015</v>
      </c>
      <c r="G48" s="98" t="str">
        <f>IF(Tabla19101113143246130[[#This Row],[Indice de Balassa]]&gt;0.33,"VENTAJA","NO VENTAJA")</f>
        <v>VENTAJA</v>
      </c>
    </row>
    <row r="49" spans="1:25" x14ac:dyDescent="0.25">
      <c r="A49" s="31">
        <v>2006</v>
      </c>
      <c r="B49" s="73">
        <f>'Participación Mundial 07'!C21</f>
        <v>579.43696</v>
      </c>
      <c r="C49" s="26">
        <v>9948.23</v>
      </c>
      <c r="D49" s="27">
        <v>1695.4398000000001</v>
      </c>
      <c r="E49" s="27">
        <v>24.390975102999999</v>
      </c>
      <c r="F49" s="32">
        <f>((Tabla19101113143246130[[#This Row],[Total exportaciones del grupo
 a USA (US$ millones)]]*1000)/(Tabla19101113143246130[[#This Row],[Total exportaciones
 a USA (US$ miles)]])/((D49/1000)/E49))</f>
        <v>837.92889192601081</v>
      </c>
      <c r="G49" s="98" t="str">
        <f>IF(Tabla19101113143246130[[#This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f>'Participación Mundial 07'!C22</f>
        <v>658.19860600000004</v>
      </c>
      <c r="C50" s="26">
        <v>10609.17</v>
      </c>
      <c r="D50" s="26">
        <v>1964.3083119999999</v>
      </c>
      <c r="E50" s="26">
        <v>29.991332</v>
      </c>
      <c r="F50" s="32">
        <f>((Tabla19101113143246130[[#This Row],[Total exportaciones del grupo
 a USA (US$ millones)]]*1000)/(Tabla19101113143246130[[#This Row],[Total exportaciones
 a USA (US$ miles)]])/((D50/1000)/E50))</f>
        <v>947.24353459497115</v>
      </c>
      <c r="G50" s="98" t="str">
        <f>IF(Tabla19101113143246130[[#This Row],[Indice de Balassa]]&gt;0.33,"VENTAJA","NO VENTAJA")</f>
        <v>VENTAJA</v>
      </c>
    </row>
    <row r="51" spans="1:25" x14ac:dyDescent="0.25">
      <c r="A51" s="31">
        <v>2008</v>
      </c>
      <c r="B51" s="73">
        <f>'Participación Mundial 07'!C23</f>
        <v>784.02828799999997</v>
      </c>
      <c r="C51" s="26">
        <v>14288.83</v>
      </c>
      <c r="D51" s="26">
        <v>2200.9839870000001</v>
      </c>
      <c r="E51" s="26">
        <v>37.625882064999999</v>
      </c>
      <c r="F51" s="32">
        <f>((Tabla19101113143246130[[#This Row],[Total exportaciones del grupo
 a USA (US$ millones)]]*1000)/(Tabla19101113143246130[[#This Row],[Total exportaciones
 a USA (US$ miles)]])/((D51/1000)/E51))</f>
        <v>938.00438831879114</v>
      </c>
      <c r="G51" s="98" t="str">
        <f>IF(Tabla19101113143246130[[#This Row],[Indice de Balassa]]&gt;0.33,"VENTAJA","NO VENTAJA")</f>
        <v>VENTAJA</v>
      </c>
    </row>
    <row r="52" spans="1:25" x14ac:dyDescent="0.25">
      <c r="A52" s="31">
        <v>2009</v>
      </c>
      <c r="B52" s="73">
        <f>'Participación Mundial 07'!C24</f>
        <v>767.05405399999995</v>
      </c>
      <c r="C52" s="26">
        <v>13123.47</v>
      </c>
      <c r="D52" s="26">
        <v>1867.8936940000001</v>
      </c>
      <c r="E52" s="26">
        <v>32.852985836999999</v>
      </c>
      <c r="F52" s="32">
        <f>((Tabla19101113143246130[[#This Row],[Total exportaciones del grupo
 a USA (US$ millones)]]*1000)/(Tabla19101113143246130[[#This Row],[Total exportaciones
 a USA (US$ miles)]])/((D52/1000)/E52))</f>
        <v>1028.0162444371581</v>
      </c>
      <c r="G52" s="98" t="str">
        <f>IF(Tabla19101113143246130[[#This Row],[Indice de Balassa]]&gt;0.33,"VENTAJA","NO VENTAJA")</f>
        <v>VENTAJA</v>
      </c>
    </row>
    <row r="53" spans="1:25" x14ac:dyDescent="0.25">
      <c r="A53" s="31">
        <v>2010</v>
      </c>
      <c r="B53" s="73">
        <f>'Participación Mundial 07'!C25</f>
        <v>879.24043200000006</v>
      </c>
      <c r="C53" s="26">
        <v>17143.28</v>
      </c>
      <c r="D53" s="26">
        <v>2237.1347559999999</v>
      </c>
      <c r="E53" s="26">
        <v>39.819528642000002</v>
      </c>
      <c r="F53" s="32">
        <f>((Tabla19101113143246130[[#This Row],[Total exportaciones del grupo
 a USA (US$ millones)]]*1000)/(Tabla19101113143246130[[#This Row],[Total exportaciones
 a USA (US$ miles)]])/((D53/1000)/E53))</f>
        <v>912.88842877479681</v>
      </c>
      <c r="G53" s="98" t="str">
        <f>IF(Tabla19101113143246130[[#This Row],[Indice de Balassa]]&gt;0.33,"VENTAJA","NO VENTAJA")</f>
        <v>VENTAJA</v>
      </c>
    </row>
    <row r="54" spans="1:25" x14ac:dyDescent="0.25">
      <c r="A54" s="31">
        <v>2011</v>
      </c>
      <c r="B54" s="73">
        <f>'Participación Mundial 07'!C26</f>
        <v>1253.501368</v>
      </c>
      <c r="C54" s="26">
        <v>21948.53</v>
      </c>
      <c r="D54" s="26">
        <v>3032.3254820000002</v>
      </c>
      <c r="E54" s="26">
        <v>56.953516086</v>
      </c>
      <c r="F54" s="32">
        <f>((Tabla19101113143246130[[#This Row],[Total exportaciones del grupo
 a USA (US$ millones)]]*1000)/(Tabla19101113143246130[[#This Row],[Total exportaciones
 a USA (US$ miles)]])/((D54/1000)/E54))</f>
        <v>1072.6649719272568</v>
      </c>
      <c r="G54" s="98" t="str">
        <f>IF(Tabla19101113143246130[[#This Row],[Indice de Balassa]]&gt;0.33,"VENTAJA","NO VENTAJA")</f>
        <v>VENTAJA</v>
      </c>
    </row>
    <row r="55" spans="1:25" x14ac:dyDescent="0.25">
      <c r="A55" s="31">
        <v>2012</v>
      </c>
      <c r="B55" s="73">
        <f>'Participación Mundial 07'!C27</f>
        <v>925.35675600000002</v>
      </c>
      <c r="C55" s="26">
        <v>22216.240000000002</v>
      </c>
      <c r="D55" s="26">
        <v>2288.9404140000001</v>
      </c>
      <c r="E55" s="26">
        <v>60.273618167999999</v>
      </c>
      <c r="F55" s="32">
        <f>((Tabla19101113143246130[[#This Row],[Total exportaciones del grupo
 a USA (US$ millones)]]*1000)/(Tabla19101113143246130[[#This Row],[Total exportaciones
 a USA (US$ miles)]])/((D55/1000)/E55))</f>
        <v>1096.8100393508887</v>
      </c>
      <c r="G55" s="98" t="str">
        <f>IF(Tabla19101113143246130[[#This Row],[Indice de Balassa]]&gt;0.33,"VENTAJA","NO VENTAJA")</f>
        <v>VENTAJA</v>
      </c>
    </row>
    <row r="56" spans="1:25" x14ac:dyDescent="0.25">
      <c r="A56" s="31">
        <v>2013</v>
      </c>
      <c r="B56" s="73">
        <f>'Participación Mundial 07'!C28</f>
        <v>959.63503200000002</v>
      </c>
      <c r="C56" s="26">
        <v>18692.900000000001</v>
      </c>
      <c r="D56" s="26">
        <v>2269.7606639999999</v>
      </c>
      <c r="E56" s="26">
        <v>58.821869986999999</v>
      </c>
      <c r="F56" s="32">
        <f>((Tabla19101113143246130[[#This Row],[Total exportaciones del grupo
 a USA (US$ millones)]]*1000)/(Tabla19101113143246130[[#This Row],[Total exportaciones
 a USA (US$ miles)]])/((D56/1000)/E56))</f>
        <v>1330.41818591011</v>
      </c>
      <c r="G56" s="98" t="str">
        <f>IF(Tabla19101113143246130[[#This Row],[Indice de Balassa]]&gt;0.33,"VENTAJA","NO VENTAJA")</f>
        <v>VENTAJA</v>
      </c>
    </row>
    <row r="57" spans="1:25" x14ac:dyDescent="0.25">
      <c r="A57" s="31">
        <v>2014</v>
      </c>
      <c r="B57" s="73">
        <f>'Participación Mundial 07'!C29</f>
        <v>1138.514244</v>
      </c>
      <c r="C57" s="26">
        <v>14470.7</v>
      </c>
      <c r="D57" s="26">
        <v>2893.9653790000002</v>
      </c>
      <c r="E57" s="26">
        <v>54.794812014999998</v>
      </c>
      <c r="F57" s="32">
        <f>((Tabla19101113143246130[[#This Row],[Total exportaciones del grupo
 a USA (US$ millones)]]*1000)/(Tabla19101113143246130[[#This Row],[Total exportaciones
 a USA (US$ miles)]])/((D57/1000)/E57))</f>
        <v>1489.6870365645955</v>
      </c>
      <c r="G57" s="98" t="str">
        <f>IF(Tabla19101113143246130[[#This Row],[Indice de Balassa]]&gt;0.33,"VENTAJA","NO VENTAJA")</f>
        <v>VENTAJA</v>
      </c>
    </row>
    <row r="58" spans="1:25" x14ac:dyDescent="0.25">
      <c r="A58" s="31">
        <v>2015</v>
      </c>
      <c r="B58" s="73">
        <f>'Participación Mundial 07'!C30</f>
        <v>1178.3594880000001</v>
      </c>
      <c r="C58" s="3">
        <v>14074</v>
      </c>
      <c r="D58" s="3">
        <v>2949.0724329999998</v>
      </c>
      <c r="E58" s="3">
        <v>35.690766592999999</v>
      </c>
      <c r="F58" s="32">
        <f>((Tabla19101113143246130[[#This Row],[Total exportaciones del grupo
 a USA (US$ millones)]]*1000)/(Tabla19101113143246130[[#This Row],[Total exportaciones
 a USA (US$ miles)]])/((D58/1000)/E58))</f>
        <v>1013.2828518710603</v>
      </c>
      <c r="G58" s="98" t="str">
        <f>IF(Tabla19101113143246130[[#This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28" t="s">
        <v>24</v>
      </c>
    </row>
    <row r="63" spans="1:25" x14ac:dyDescent="0.25">
      <c r="A63" s="31">
        <v>1991</v>
      </c>
      <c r="B63" s="73">
        <f>'Balanza c 07'!B2</f>
        <v>355.71349699999996</v>
      </c>
      <c r="C63" s="84">
        <f>'Apertura 07'!B184</f>
        <v>356.95325500000001</v>
      </c>
      <c r="D63" s="32">
        <f>1-(Tabla1910111314123347131[[#This Row],[Balanza Comercial Colombia 
( US$ millones)]]/Tabla1910111314123347131[[#This Row],[Balanza Comercial Absoluta Colombia 
(US$ millones)]])</f>
        <v>3.4731662553407761E-3</v>
      </c>
      <c r="E63" s="2" t="str">
        <f t="shared" ref="E63:E87" si="0">IF(D63&gt;0.1&lt;0.33,"POTENCIAL CMRCIO INT",IF(D63&gt;0.33,"INDICIOS DE CMRCIO INT",IF(D63&lt;0.1,"REL. INTERINDUSTRIALES")))</f>
        <v>REL. INTERINDUSTRIALES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>
        <f>'Balanza c 07'!B3</f>
        <v>372.09926000000002</v>
      </c>
      <c r="C64" s="84">
        <f>'Apertura 07'!B185</f>
        <v>375.22349200000002</v>
      </c>
      <c r="D64" s="32">
        <f>1-(Tabla1910111314123347131[[#This Row],[Balanza Comercial Colombia 
( US$ millones)]]/Tabla1910111314123347131[[#This Row],[Balanza Comercial Absoluta Colombia 
(US$ millones)]])</f>
        <v>8.3263230224401852E-3</v>
      </c>
      <c r="E64" s="2" t="str">
        <f t="shared" si="0"/>
        <v>REL. INTERINDUSTRIALES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>
        <f>'Balanza c 07'!B4</f>
        <v>233.94672700000001</v>
      </c>
      <c r="C65" s="84">
        <f>'Apertura 07'!B186</f>
        <v>237.70677699999999</v>
      </c>
      <c r="D65" s="32">
        <f>1-(Tabla1910111314123347131[[#This Row],[Balanza Comercial Colombia 
( US$ millones)]]/Tabla1910111314123347131[[#This Row],[Balanza Comercial Absoluta Colombia 
(US$ millones)]])</f>
        <v>1.5818017674775753E-2</v>
      </c>
      <c r="E65" s="2" t="str">
        <f t="shared" si="0"/>
        <v>REL. INTERINDUSTRIALES</v>
      </c>
      <c r="G65" s="112"/>
      <c r="K65" s="49"/>
      <c r="M65" s="49"/>
      <c r="O65" s="49"/>
    </row>
    <row r="66" spans="1:15" x14ac:dyDescent="0.25">
      <c r="A66" s="31">
        <v>1994</v>
      </c>
      <c r="B66" s="73">
        <f>'Balanza c 07'!B5</f>
        <v>360.28414399999997</v>
      </c>
      <c r="C66" s="84">
        <f>'Apertura 07'!B187</f>
        <v>364.10657600000002</v>
      </c>
      <c r="D66" s="32">
        <f>1-(Tabla1910111314123347131[[#This Row],[Balanza Comercial Colombia 
( US$ millones)]]/Tabla1910111314123347131[[#This Row],[Balanza Comercial Absoluta Colombia 
(US$ millones)]])</f>
        <v>1.0498113057974656E-2</v>
      </c>
      <c r="E66" s="2" t="str">
        <f t="shared" si="0"/>
        <v>REL. INTERINDUSTRIALES</v>
      </c>
      <c r="G66" s="112"/>
      <c r="K66" s="49"/>
      <c r="M66" s="52" t="s">
        <v>136</v>
      </c>
      <c r="O66" s="49"/>
    </row>
    <row r="67" spans="1:15" x14ac:dyDescent="0.25">
      <c r="A67" s="31">
        <v>1995</v>
      </c>
      <c r="B67" s="73">
        <f>'Balanza c 07'!B6</f>
        <v>411.79504800000001</v>
      </c>
      <c r="C67" s="84">
        <f>'Apertura 07'!B188</f>
        <v>416.73512799999997</v>
      </c>
      <c r="D67" s="32">
        <f>1-(Tabla1910111314123347131[[#This Row],[Balanza Comercial Colombia 
( US$ millones)]]/Tabla1910111314123347131[[#This Row],[Balanza Comercial Absoluta Colombia 
(US$ millones)]])</f>
        <v>1.1854244262317071E-2</v>
      </c>
      <c r="E67" s="2" t="str">
        <f t="shared" si="0"/>
        <v>REL. INTERINDUSTRIALES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07'!B7</f>
        <v>410.11793</v>
      </c>
      <c r="C68" s="84">
        <f>'Apertura 07'!B189</f>
        <v>414.56091800000002</v>
      </c>
      <c r="D68" s="32">
        <f>1-(Tabla1910111314123347131[[#This Row],[Balanza Comercial Colombia 
( US$ millones)]]/Tabla1910111314123347131[[#This Row],[Balanza Comercial Absoluta Colombia 
(US$ millones)]])</f>
        <v>1.0717334430449199E-2</v>
      </c>
      <c r="E68" s="2" t="str">
        <f t="shared" si="0"/>
        <v>REL. INTERINDUSTRIALES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>
        <f>'Balanza c 07'!B8</f>
        <v>701.25588000000005</v>
      </c>
      <c r="C69" s="84">
        <f>'Apertura 07'!B190</f>
        <v>705.07615199999998</v>
      </c>
      <c r="D69" s="32">
        <f>1-(Tabla1910111314123347131[[#This Row],[Balanza Comercial Colombia 
( US$ millones)]]/Tabla1910111314123347131[[#This Row],[Balanza Comercial Absoluta Colombia 
(US$ millones)]])</f>
        <v>5.4182402697402487E-3</v>
      </c>
      <c r="E69" s="2" t="str">
        <f t="shared" si="0"/>
        <v>REL. INTERINDUSTRIALES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>
        <f>'Balanza c 07'!B9</f>
        <v>570.33353199999999</v>
      </c>
      <c r="C70" s="84">
        <f>'Apertura 07'!B191</f>
        <v>574.91945999999996</v>
      </c>
      <c r="D70" s="32">
        <f>1-(Tabla1910111314123347131[[#This Row],[Balanza Comercial Colombia 
( US$ millones)]]/Tabla1910111314123347131[[#This Row],[Balanza Comercial Absoluta Colombia 
(US$ millones)]])</f>
        <v>7.976644241612485E-3</v>
      </c>
      <c r="E70" s="2" t="str">
        <f t="shared" si="0"/>
        <v>REL. INTERINDUSTRIALES</v>
      </c>
    </row>
    <row r="71" spans="1:15" x14ac:dyDescent="0.25">
      <c r="A71" s="31">
        <v>1999</v>
      </c>
      <c r="B71" s="73">
        <f>'Balanza c 07'!B10</f>
        <v>467.41565100000003</v>
      </c>
      <c r="C71" s="84">
        <f>'Apertura 07'!B192</f>
        <v>470.62626899999998</v>
      </c>
      <c r="D71" s="32">
        <f>1-(Tabla1910111314123347131[[#This Row],[Balanza Comercial Colombia 
( US$ millones)]]/Tabla1910111314123347131[[#This Row],[Balanza Comercial Absoluta Colombia 
(US$ millones)]])</f>
        <v>6.8220118839136257E-3</v>
      </c>
      <c r="E71" s="2" t="str">
        <f t="shared" si="0"/>
        <v>REL. INTERINDUSTRIALES</v>
      </c>
    </row>
    <row r="72" spans="1:15" x14ac:dyDescent="0.25">
      <c r="A72" s="31">
        <v>2000</v>
      </c>
      <c r="B72" s="73">
        <f>'Balanza c 07'!B11</f>
        <v>387.707155</v>
      </c>
      <c r="C72" s="84">
        <f>'Apertura 07'!B193</f>
        <v>390.75227100000001</v>
      </c>
      <c r="D72" s="32">
        <f>1-(Tabla1910111314123347131[[#This Row],[Balanza Comercial Colombia 
( US$ millones)]]/Tabla1910111314123347131[[#This Row],[Balanza Comercial Absoluta Colombia 
(US$ millones)]])</f>
        <v>7.792957907082787E-3</v>
      </c>
      <c r="E72" s="2" t="str">
        <f t="shared" si="0"/>
        <v>REL. INTERINDUSTRIALES</v>
      </c>
    </row>
    <row r="73" spans="1:15" x14ac:dyDescent="0.25">
      <c r="A73" s="31">
        <v>2001</v>
      </c>
      <c r="B73" s="73">
        <f>'Balanza c 07'!B12</f>
        <v>276.92072000000002</v>
      </c>
      <c r="C73" s="84">
        <f>'Apertura 07'!B194</f>
        <v>281.36294800000002</v>
      </c>
      <c r="D73" s="32">
        <f>1-(Tabla1910111314123347131[[#This Row],[Balanza Comercial Colombia 
( US$ millones)]]/Tabla1910111314123347131[[#This Row],[Balanza Comercial Absoluta Colombia 
(US$ millones)]])</f>
        <v>1.5788247996321059E-2</v>
      </c>
      <c r="E73" s="2" t="str">
        <f t="shared" si="0"/>
        <v>REL. INTERINDUSTRIALES</v>
      </c>
    </row>
    <row r="74" spans="1:15" x14ac:dyDescent="0.25">
      <c r="A74" s="31">
        <v>2002</v>
      </c>
      <c r="B74" s="73">
        <f>'Balanza c 07'!B13</f>
        <v>293.96388999999999</v>
      </c>
      <c r="C74" s="84">
        <f>'Apertura 07'!B195</f>
        <v>299.72891200000004</v>
      </c>
      <c r="D74" s="32">
        <f>1-(Tabla1910111314123347131[[#This Row],[Balanza Comercial Colombia 
( US$ millones)]]/Tabla1910111314123347131[[#This Row],[Balanza Comercial Absoluta Colombia 
(US$ millones)]])</f>
        <v>1.9234120464161397E-2</v>
      </c>
      <c r="E74" s="2" t="str">
        <f t="shared" si="0"/>
        <v>REL. INTERINDUSTRIALES</v>
      </c>
    </row>
    <row r="75" spans="1:15" x14ac:dyDescent="0.25">
      <c r="A75" s="31">
        <v>2003</v>
      </c>
      <c r="B75" s="73">
        <f>'Balanza c 07'!B14</f>
        <v>322.128061</v>
      </c>
      <c r="C75" s="84">
        <f>'Apertura 07'!B196</f>
        <v>327.14183700000001</v>
      </c>
      <c r="D75" s="32">
        <f>1-(Tabla1910111314123347131[[#This Row],[Balanza Comercial Colombia 
( US$ millones)]]/Tabla1910111314123347131[[#This Row],[Balanza Comercial Absoluta Colombia 
(US$ millones)]])</f>
        <v>1.5326000630118131E-2</v>
      </c>
      <c r="E75" s="2" t="str">
        <f t="shared" si="0"/>
        <v>REL. INTERINDUSTRIALES</v>
      </c>
    </row>
    <row r="76" spans="1:15" x14ac:dyDescent="0.25">
      <c r="A76" s="31">
        <v>2004</v>
      </c>
      <c r="B76" s="73">
        <f>'Balanza c 07'!B15</f>
        <v>376.65753699999999</v>
      </c>
      <c r="C76" s="84">
        <f>'Apertura 07'!B197</f>
        <v>383.77491300000003</v>
      </c>
      <c r="D76" s="32">
        <f>1-(Tabla1910111314123347131[[#This Row],[Balanza Comercial Colombia 
( US$ millones)]]/Tabla1910111314123347131[[#This Row],[Balanza Comercial Absoluta Colombia 
(US$ millones)]])</f>
        <v>1.8545704158624998E-2</v>
      </c>
      <c r="E76" s="2" t="str">
        <f t="shared" si="0"/>
        <v>REL. INTERINDUSTRIALES</v>
      </c>
    </row>
    <row r="77" spans="1:15" x14ac:dyDescent="0.25">
      <c r="A77" s="31">
        <v>2005</v>
      </c>
      <c r="B77" s="73">
        <f>'Balanza c 07'!B16</f>
        <v>582.86517800000001</v>
      </c>
      <c r="C77" s="84">
        <f>'Apertura 07'!B198</f>
        <v>589.72288800000001</v>
      </c>
      <c r="D77" s="32">
        <f>1-(Tabla1910111314123347131[[#This Row],[Balanza Comercial Colombia 
( US$ millones)]]/Tabla1910111314123347131[[#This Row],[Balanza Comercial Absoluta Colombia 
(US$ millones)]])</f>
        <v>1.1628699071283166E-2</v>
      </c>
      <c r="E77" s="2" t="str">
        <f t="shared" si="0"/>
        <v>REL. INTERINDUSTRIALES</v>
      </c>
    </row>
    <row r="78" spans="1:15" x14ac:dyDescent="0.25">
      <c r="A78" s="31">
        <v>2006</v>
      </c>
      <c r="B78" s="73">
        <f>'Balanza c 07'!B17</f>
        <v>574.06365400000004</v>
      </c>
      <c r="C78" s="84">
        <f>'Apertura 07'!B199</f>
        <v>584.81026599999996</v>
      </c>
      <c r="D78" s="32">
        <f>1-(Tabla1910111314123347131[[#This Row],[Balanza Comercial Colombia 
( US$ millones)]]/Tabla1910111314123347131[[#This Row],[Balanza Comercial Absoluta Colombia 
(US$ millones)]])</f>
        <v>1.8376236917838074E-2</v>
      </c>
      <c r="E78" s="2" t="str">
        <f t="shared" si="0"/>
        <v>REL. INTERINDUSTRIALES</v>
      </c>
    </row>
    <row r="79" spans="1:15" x14ac:dyDescent="0.25">
      <c r="A79" s="31">
        <v>2007</v>
      </c>
      <c r="B79" s="73">
        <f>'Balanza c 07'!B18</f>
        <v>654.50728800000002</v>
      </c>
      <c r="C79" s="84">
        <f>'Apertura 07'!B200</f>
        <v>661.88992400000006</v>
      </c>
      <c r="D79" s="32">
        <f>1-(Tabla1910111314123347131[[#This Row],[Balanza Comercial Colombia 
( US$ millones)]]/Tabla1910111314123347131[[#This Row],[Balanza Comercial Absoluta Colombia 
(US$ millones)]])</f>
        <v>1.1153872769938178E-2</v>
      </c>
      <c r="E79" s="2" t="str">
        <f t="shared" si="0"/>
        <v>REL. INTERINDUSTRIALES</v>
      </c>
    </row>
    <row r="80" spans="1:15" x14ac:dyDescent="0.25">
      <c r="A80" s="31">
        <v>2008</v>
      </c>
      <c r="B80" s="73">
        <f>'Balanza c 07'!B19</f>
        <v>778.52308099999993</v>
      </c>
      <c r="C80" s="84">
        <f>'Apertura 07'!B201</f>
        <v>789.53349500000002</v>
      </c>
      <c r="D80" s="32">
        <f>1-(Tabla1910111314123347131[[#This Row],[Balanza Comercial Colombia 
( US$ millones)]]/Tabla1910111314123347131[[#This Row],[Balanza Comercial Absoluta Colombia 
(US$ millones)]])</f>
        <v>1.3945467886704477E-2</v>
      </c>
      <c r="E80" s="2" t="str">
        <f t="shared" si="0"/>
        <v>REL. INTERINDUSTRIALES</v>
      </c>
    </row>
    <row r="81" spans="1:5" x14ac:dyDescent="0.25">
      <c r="A81" s="31">
        <v>2009</v>
      </c>
      <c r="B81" s="73">
        <f>'Balanza c 07'!B20</f>
        <v>762.35947799999997</v>
      </c>
      <c r="C81" s="84">
        <f>'Apertura 07'!B202</f>
        <v>771.74862999999993</v>
      </c>
      <c r="D81" s="32">
        <f>1-(Tabla1910111314123347131[[#This Row],[Balanza Comercial Colombia 
( US$ millones)]]/Tabla1910111314123347131[[#This Row],[Balanza Comercial Absoluta Colombia 
(US$ millones)]])</f>
        <v>1.2166075370940388E-2</v>
      </c>
      <c r="E81" s="2" t="str">
        <f t="shared" si="0"/>
        <v>REL. INTERINDUSTRIALES</v>
      </c>
    </row>
    <row r="82" spans="1:5" x14ac:dyDescent="0.25">
      <c r="A82" s="31">
        <v>2010</v>
      </c>
      <c r="B82" s="73">
        <f>'Balanza c 07'!B21</f>
        <v>873.39144500000009</v>
      </c>
      <c r="C82" s="84">
        <f>'Apertura 07'!B203</f>
        <v>885.08941900000002</v>
      </c>
      <c r="D82" s="32">
        <f>1-(Tabla1910111314123347131[[#This Row],[Balanza Comercial Colombia 
( US$ millones)]]/Tabla1910111314123347131[[#This Row],[Balanza Comercial Absoluta Colombia 
(US$ millones)]])</f>
        <v>1.321671432160676E-2</v>
      </c>
      <c r="E82" s="2" t="str">
        <f t="shared" si="0"/>
        <v>REL. INTERINDUSTRIALES</v>
      </c>
    </row>
    <row r="83" spans="1:5" x14ac:dyDescent="0.25">
      <c r="A83" s="31">
        <v>2011</v>
      </c>
      <c r="B83" s="73">
        <f>'Balanza c 07'!B22</f>
        <v>1246.6833959999999</v>
      </c>
      <c r="C83" s="84">
        <f>'Apertura 07'!B204</f>
        <v>1260.31934</v>
      </c>
      <c r="D83" s="32">
        <f>1-(Tabla1910111314123347131[[#This Row],[Balanza Comercial Colombia 
( US$ millones)]]/Tabla1910111314123347131[[#This Row],[Balanza Comercial Absoluta Colombia 
(US$ millones)]])</f>
        <v>1.0819435651919895E-2</v>
      </c>
      <c r="E83" s="2" t="str">
        <f t="shared" si="0"/>
        <v>REL. INTERINDUSTRIALES</v>
      </c>
    </row>
    <row r="84" spans="1:5" x14ac:dyDescent="0.25">
      <c r="A84" s="31">
        <v>2012</v>
      </c>
      <c r="B84" s="73">
        <f>'Balanza c 07'!B23</f>
        <v>911.89308700000004</v>
      </c>
      <c r="C84" s="84">
        <f>'Apertura 07'!B205</f>
        <v>938.820425</v>
      </c>
      <c r="D84" s="32">
        <f>1-(Tabla1910111314123347131[[#This Row],[Balanza Comercial Colombia 
( US$ millones)]]/Tabla1910111314123347131[[#This Row],[Balanza Comercial Absoluta Colombia 
(US$ millones)]])</f>
        <v>2.8682096472283258E-2</v>
      </c>
      <c r="E84" s="2" t="str">
        <f t="shared" si="0"/>
        <v>REL. INTERINDUSTRIALES</v>
      </c>
    </row>
    <row r="85" spans="1:5" x14ac:dyDescent="0.25">
      <c r="A85" s="31">
        <v>2013</v>
      </c>
      <c r="B85" s="73">
        <f>'Balanza c 07'!B24</f>
        <v>929.881889</v>
      </c>
      <c r="C85" s="84">
        <f>'Apertura 07'!B206</f>
        <v>989.38817500000005</v>
      </c>
      <c r="D85" s="32">
        <f>1-(Tabla1910111314123347131[[#This Row],[Balanza Comercial Colombia 
( US$ millones)]]/Tabla1910111314123347131[[#This Row],[Balanza Comercial Absoluta Colombia 
(US$ millones)]])</f>
        <v>6.014452921877711E-2</v>
      </c>
      <c r="E85" s="2" t="str">
        <f t="shared" si="0"/>
        <v>REL. INTERINDUSTRIALES</v>
      </c>
    </row>
    <row r="86" spans="1:5" x14ac:dyDescent="0.25">
      <c r="A86" s="31">
        <v>2014</v>
      </c>
      <c r="B86" s="73">
        <f>'Balanza c 07'!B25</f>
        <v>1107.9000039999999</v>
      </c>
      <c r="C86" s="84">
        <f>'Apertura 07'!B207</f>
        <v>1169.1284840000001</v>
      </c>
      <c r="D86" s="32">
        <f>1-(Tabla1910111314123347131[[#This Row],[Balanza Comercial Colombia 
( US$ millones)]]/Tabla1910111314123347131[[#This Row],[Balanza Comercial Absoluta Colombia 
(US$ millones)]])</f>
        <v>5.2371044618223728E-2</v>
      </c>
      <c r="E86" s="2" t="str">
        <f t="shared" si="0"/>
        <v>REL. INTERINDUSTRIALES</v>
      </c>
    </row>
    <row r="87" spans="1:5" x14ac:dyDescent="0.25">
      <c r="A87" s="31">
        <v>2015</v>
      </c>
      <c r="B87" s="73">
        <f>'Balanza c 07'!B26</f>
        <v>1152.802459</v>
      </c>
      <c r="C87" s="84">
        <f>'Apertura 07'!B208</f>
        <v>1203.9165170000001</v>
      </c>
      <c r="D87" s="32">
        <f>1-(Tabla1910111314123347131[[#This Row],[Balanza Comercial Colombia 
( US$ millones)]]/Tabla1910111314123347131[[#This Row],[Balanza Comercial Absoluta Colombia 
(US$ millones)]])</f>
        <v>4.2456480393980756E-2</v>
      </c>
      <c r="E87" s="2" t="str">
        <f t="shared" si="0"/>
        <v>REL. INTERINDUSTRIALES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2" priority="3" operator="lessThan">
      <formula>0</formula>
    </cfRule>
  </conditionalFormatting>
  <conditionalFormatting sqref="E63:E87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7" sqref="B7"/>
    </sheetView>
  </sheetViews>
  <sheetFormatPr baseColWidth="10" defaultRowHeight="15" x14ac:dyDescent="0.25"/>
  <cols>
    <col min="2" max="2" width="13.42578125" customWidth="1"/>
  </cols>
  <sheetData>
    <row r="1" spans="1:2" ht="60" x14ac:dyDescent="0.25">
      <c r="A1" s="34" t="s">
        <v>3</v>
      </c>
      <c r="B1" s="34" t="s">
        <v>154</v>
      </c>
    </row>
    <row r="2" spans="1:2" x14ac:dyDescent="0.25">
      <c r="A2" s="54">
        <v>1991</v>
      </c>
      <c r="B2" s="73" t="s">
        <v>158</v>
      </c>
    </row>
    <row r="3" spans="1:2" x14ac:dyDescent="0.25">
      <c r="A3" s="55">
        <v>1992</v>
      </c>
      <c r="B3" s="73" t="s">
        <v>158</v>
      </c>
    </row>
    <row r="4" spans="1:2" x14ac:dyDescent="0.25">
      <c r="A4" s="54">
        <v>1993</v>
      </c>
      <c r="B4" s="73">
        <v>0.752</v>
      </c>
    </row>
    <row r="5" spans="1:2" x14ac:dyDescent="0.25">
      <c r="A5" s="55">
        <v>1994</v>
      </c>
      <c r="B5" s="73">
        <v>13.845000000000001</v>
      </c>
    </row>
    <row r="6" spans="1:2" x14ac:dyDescent="0.25">
      <c r="A6" s="54">
        <v>1995</v>
      </c>
      <c r="B6" s="73" t="s">
        <v>158</v>
      </c>
    </row>
    <row r="7" spans="1:2" x14ac:dyDescent="0.25">
      <c r="A7" s="55">
        <v>1996</v>
      </c>
      <c r="B7" s="73">
        <v>14.885</v>
      </c>
    </row>
    <row r="8" spans="1:2" x14ac:dyDescent="0.25">
      <c r="A8" s="54">
        <v>1997</v>
      </c>
      <c r="B8" s="73">
        <v>4.58</v>
      </c>
    </row>
    <row r="9" spans="1:2" x14ac:dyDescent="0.25">
      <c r="A9" s="55">
        <v>1998</v>
      </c>
      <c r="B9" s="73">
        <v>12.704000000000001</v>
      </c>
    </row>
    <row r="10" spans="1:2" x14ac:dyDescent="0.25">
      <c r="A10" s="54">
        <v>1999</v>
      </c>
      <c r="B10" s="73" t="s">
        <v>158</v>
      </c>
    </row>
    <row r="11" spans="1:2" x14ac:dyDescent="0.25">
      <c r="A11" s="55">
        <v>2000</v>
      </c>
      <c r="B11" s="73" t="s">
        <v>158</v>
      </c>
    </row>
    <row r="12" spans="1:2" x14ac:dyDescent="0.25">
      <c r="A12" s="55">
        <v>2001</v>
      </c>
      <c r="B12" s="73" t="s">
        <v>158</v>
      </c>
    </row>
    <row r="13" spans="1:2" x14ac:dyDescent="0.25">
      <c r="A13" s="55">
        <v>2002</v>
      </c>
      <c r="B13" s="73">
        <v>71.614000000000004</v>
      </c>
    </row>
    <row r="14" spans="1:2" x14ac:dyDescent="0.25">
      <c r="A14" s="54">
        <v>2003</v>
      </c>
      <c r="B14" s="73">
        <v>56.762</v>
      </c>
    </row>
    <row r="15" spans="1:2" x14ac:dyDescent="0.25">
      <c r="A15" s="55">
        <v>2004</v>
      </c>
      <c r="B15" s="73">
        <v>113.514</v>
      </c>
    </row>
    <row r="16" spans="1:2" x14ac:dyDescent="0.25">
      <c r="A16" s="54">
        <v>2005</v>
      </c>
      <c r="B16" s="73">
        <v>216.98099999999999</v>
      </c>
    </row>
    <row r="17" spans="1:2" x14ac:dyDescent="0.25">
      <c r="A17" s="55">
        <v>2006</v>
      </c>
      <c r="B17" s="73">
        <v>418.16500000000002</v>
      </c>
    </row>
    <row r="18" spans="1:2" x14ac:dyDescent="0.25">
      <c r="A18" s="54">
        <v>2007</v>
      </c>
      <c r="B18" s="73">
        <v>407.47699999999998</v>
      </c>
    </row>
    <row r="19" spans="1:2" x14ac:dyDescent="0.25">
      <c r="A19" s="55">
        <v>2008</v>
      </c>
      <c r="B19" s="73">
        <v>811.77499999999998</v>
      </c>
    </row>
    <row r="20" spans="1:2" x14ac:dyDescent="0.25">
      <c r="A20" s="54">
        <v>2009</v>
      </c>
      <c r="B20" s="73">
        <v>300.98</v>
      </c>
    </row>
    <row r="21" spans="1:2" x14ac:dyDescent="0.25">
      <c r="A21" s="55">
        <v>2010</v>
      </c>
      <c r="B21" s="73">
        <v>621.55600000000004</v>
      </c>
    </row>
    <row r="22" spans="1:2" x14ac:dyDescent="0.25">
      <c r="A22" s="54">
        <v>2011</v>
      </c>
      <c r="B22" s="73">
        <v>607.07799999999997</v>
      </c>
    </row>
    <row r="23" spans="1:2" x14ac:dyDescent="0.25">
      <c r="A23" s="55">
        <v>2012</v>
      </c>
      <c r="B23" s="73">
        <v>342.78100000000001</v>
      </c>
    </row>
    <row r="24" spans="1:2" x14ac:dyDescent="0.25">
      <c r="A24" s="54">
        <v>2013</v>
      </c>
      <c r="B24" s="73">
        <v>876.74400000000003</v>
      </c>
    </row>
    <row r="25" spans="1:2" x14ac:dyDescent="0.25">
      <c r="A25" s="55">
        <v>2014</v>
      </c>
      <c r="B25" s="73">
        <v>233.03800000000001</v>
      </c>
    </row>
    <row r="26" spans="1:2" x14ac:dyDescent="0.25">
      <c r="A26" s="54">
        <v>2015</v>
      </c>
      <c r="B26" s="73">
        <v>1012.679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abSelected="1" topLeftCell="A119" zoomScaleNormal="100" workbookViewId="0">
      <selection activeCell="D155" sqref="D155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3.42578125" customWidth="1"/>
    <col min="6" max="6" width="13.28515625" customWidth="1"/>
    <col min="7" max="8" width="12.5703125" customWidth="1"/>
    <col min="9" max="9" width="3.7109375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60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121</v>
      </c>
      <c r="C6" s="13" t="s">
        <v>9</v>
      </c>
      <c r="D6" s="14" t="s">
        <v>4</v>
      </c>
    </row>
    <row r="7" spans="1:10" x14ac:dyDescent="0.25">
      <c r="A7" s="10">
        <v>1991</v>
      </c>
      <c r="B7" s="2">
        <v>734.10299999999995</v>
      </c>
      <c r="C7" s="5">
        <v>41239.551378248201</v>
      </c>
      <c r="D7" s="63">
        <f t="shared" ref="D7:D31" si="0">B7/(C7*1000)</f>
        <v>1.780094534168969E-5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2">
        <v>1414.192</v>
      </c>
      <c r="C8" s="5">
        <v>49279.585355094838</v>
      </c>
      <c r="D8" s="63">
        <f t="shared" si="0"/>
        <v>2.8697319383061569E-5</v>
      </c>
    </row>
    <row r="9" spans="1:10" x14ac:dyDescent="0.25">
      <c r="A9" s="10">
        <v>1993</v>
      </c>
      <c r="B9" s="2">
        <v>2008.502</v>
      </c>
      <c r="C9" s="5">
        <v>55802.540100979531</v>
      </c>
      <c r="D9" s="63">
        <f t="shared" si="0"/>
        <v>3.5993021041075219E-5</v>
      </c>
    </row>
    <row r="10" spans="1:10" x14ac:dyDescent="0.25">
      <c r="A10" s="10">
        <v>1994</v>
      </c>
      <c r="B10" s="2">
        <v>2032.5329999999999</v>
      </c>
      <c r="C10" s="5">
        <v>81703.496603993364</v>
      </c>
      <c r="D10" s="63">
        <f t="shared" si="0"/>
        <v>2.4876940210422488E-5</v>
      </c>
    </row>
    <row r="11" spans="1:10" x14ac:dyDescent="0.25">
      <c r="A11" s="10">
        <v>1995</v>
      </c>
      <c r="B11" s="2">
        <v>2091.5880000000002</v>
      </c>
      <c r="C11" s="5">
        <v>92507.277798198498</v>
      </c>
      <c r="D11" s="63">
        <f t="shared" si="0"/>
        <v>2.2609983233564919E-5</v>
      </c>
    </row>
    <row r="12" spans="1:10" x14ac:dyDescent="0.25">
      <c r="A12" s="10">
        <v>1996</v>
      </c>
      <c r="B12" s="2">
        <v>1953.7819999999999</v>
      </c>
      <c r="C12" s="5">
        <v>97160.111573336981</v>
      </c>
      <c r="D12" s="63">
        <f t="shared" si="0"/>
        <v>2.0108890041004891E-5</v>
      </c>
    </row>
    <row r="13" spans="1:10" x14ac:dyDescent="0.25">
      <c r="A13" s="10">
        <v>1997</v>
      </c>
      <c r="B13" s="2">
        <v>1089.6410000000001</v>
      </c>
      <c r="C13" s="5">
        <v>106659.5079635281</v>
      </c>
      <c r="D13" s="63">
        <f t="shared" si="0"/>
        <v>1.0216070004491297E-5</v>
      </c>
    </row>
    <row r="14" spans="1:10" x14ac:dyDescent="0.25">
      <c r="A14" s="10">
        <v>1998</v>
      </c>
      <c r="B14" s="2">
        <v>943.56700000000001</v>
      </c>
      <c r="C14" s="5">
        <v>98443.743190849113</v>
      </c>
      <c r="D14" s="63">
        <f t="shared" si="0"/>
        <v>9.5848346417582155E-6</v>
      </c>
    </row>
    <row r="15" spans="1:10" x14ac:dyDescent="0.25">
      <c r="A15" s="10">
        <v>1999</v>
      </c>
      <c r="B15" s="2">
        <v>1843.0740000000001</v>
      </c>
      <c r="C15" s="5">
        <v>86186.156584381664</v>
      </c>
      <c r="D15" s="63">
        <f t="shared" si="0"/>
        <v>2.1384803233399956E-5</v>
      </c>
    </row>
    <row r="16" spans="1:10" x14ac:dyDescent="0.25">
      <c r="A16" s="10">
        <v>2000</v>
      </c>
      <c r="B16" s="2">
        <v>1791.836</v>
      </c>
      <c r="C16" s="5">
        <v>99886.577575544405</v>
      </c>
      <c r="D16" s="63">
        <f t="shared" si="0"/>
        <v>1.7938706515846248E-5</v>
      </c>
    </row>
    <row r="17" spans="1:4" x14ac:dyDescent="0.25">
      <c r="A17" s="10">
        <v>2001</v>
      </c>
      <c r="B17" s="2">
        <v>1957.27</v>
      </c>
      <c r="C17" s="5">
        <v>98203.544965267793</v>
      </c>
      <c r="D17" s="63">
        <f t="shared" si="0"/>
        <v>1.9930746906257191E-5</v>
      </c>
    </row>
    <row r="18" spans="1:4" x14ac:dyDescent="0.25">
      <c r="A18" s="10">
        <v>2002</v>
      </c>
      <c r="B18" s="2">
        <v>1236.923</v>
      </c>
      <c r="C18" s="5">
        <v>97933.392356425262</v>
      </c>
      <c r="D18" s="63">
        <f t="shared" si="0"/>
        <v>1.2630247663618766E-5</v>
      </c>
    </row>
    <row r="19" spans="1:4" x14ac:dyDescent="0.25">
      <c r="A19" s="10">
        <v>2003</v>
      </c>
      <c r="B19" s="2">
        <v>1441.682</v>
      </c>
      <c r="C19" s="5">
        <v>94684.582573316715</v>
      </c>
      <c r="D19" s="63">
        <f t="shared" si="0"/>
        <v>1.5226153623095593E-5</v>
      </c>
    </row>
    <row r="20" spans="1:4" x14ac:dyDescent="0.25">
      <c r="A20" s="10">
        <v>2004</v>
      </c>
      <c r="B20" s="2">
        <v>2121.6509999999998</v>
      </c>
      <c r="C20" s="5">
        <v>117074.86551527939</v>
      </c>
      <c r="D20" s="63">
        <f t="shared" si="0"/>
        <v>1.812217328341158E-5</v>
      </c>
    </row>
    <row r="21" spans="1:4" x14ac:dyDescent="0.25">
      <c r="A21" s="10">
        <v>2005</v>
      </c>
      <c r="B21" s="2">
        <v>3450.0210000000002</v>
      </c>
      <c r="C21" s="5">
        <v>146566.26631057015</v>
      </c>
      <c r="D21" s="63">
        <f t="shared" si="0"/>
        <v>2.3538984016209394E-5</v>
      </c>
    </row>
    <row r="22" spans="1:4" x14ac:dyDescent="0.25">
      <c r="A22" s="10">
        <v>2006</v>
      </c>
      <c r="B22" s="2">
        <v>1953.683</v>
      </c>
      <c r="C22" s="5">
        <v>162590.1460964143</v>
      </c>
      <c r="D22" s="63">
        <f t="shared" si="0"/>
        <v>1.2015998797623848E-5</v>
      </c>
    </row>
    <row r="23" spans="1:4" x14ac:dyDescent="0.25">
      <c r="A23" s="10">
        <v>2007</v>
      </c>
      <c r="B23" s="2">
        <v>2639.74</v>
      </c>
      <c r="C23" s="5">
        <v>207416.49464237894</v>
      </c>
      <c r="D23" s="63">
        <f t="shared" si="0"/>
        <v>1.2726760253813745E-5</v>
      </c>
    </row>
    <row r="24" spans="1:4" x14ac:dyDescent="0.25">
      <c r="A24" s="10">
        <v>2008</v>
      </c>
      <c r="B24" s="2">
        <v>1717.326</v>
      </c>
      <c r="C24" s="5">
        <v>243982.43787084011</v>
      </c>
      <c r="D24" s="63">
        <f t="shared" si="0"/>
        <v>7.038727930528842E-6</v>
      </c>
    </row>
    <row r="25" spans="1:4" x14ac:dyDescent="0.25">
      <c r="A25" s="10">
        <v>2009</v>
      </c>
      <c r="B25" s="2">
        <v>1575.6310000000001</v>
      </c>
      <c r="C25" s="5">
        <v>233821.6705442575</v>
      </c>
      <c r="D25" s="63">
        <f t="shared" si="0"/>
        <v>6.7386012439842122E-6</v>
      </c>
    </row>
    <row r="26" spans="1:4" x14ac:dyDescent="0.25">
      <c r="A26" s="10">
        <v>2010</v>
      </c>
      <c r="B26" s="2">
        <v>1504.893</v>
      </c>
      <c r="C26" s="5">
        <v>287018.18463752925</v>
      </c>
      <c r="D26" s="63">
        <f t="shared" si="0"/>
        <v>5.2431974019364164E-6</v>
      </c>
    </row>
    <row r="27" spans="1:4" x14ac:dyDescent="0.25">
      <c r="A27" s="10">
        <v>2011</v>
      </c>
      <c r="B27" s="2">
        <v>972.726</v>
      </c>
      <c r="C27" s="5">
        <v>335415.15670218616</v>
      </c>
      <c r="D27" s="63">
        <f t="shared" si="0"/>
        <v>2.9000657261999633E-6</v>
      </c>
    </row>
    <row r="28" spans="1:4" x14ac:dyDescent="0.25">
      <c r="A28" s="10">
        <v>2012</v>
      </c>
      <c r="B28" s="2">
        <v>1055.278</v>
      </c>
      <c r="C28" s="5">
        <v>369659.70037551981</v>
      </c>
      <c r="D28" s="63">
        <f t="shared" si="0"/>
        <v>2.8547282782732145E-6</v>
      </c>
    </row>
    <row r="29" spans="1:4" x14ac:dyDescent="0.25">
      <c r="A29" s="10">
        <v>2013</v>
      </c>
      <c r="B29" s="2">
        <v>1403.4190000000001</v>
      </c>
      <c r="C29" s="5">
        <v>380191.88186037214</v>
      </c>
      <c r="D29" s="63">
        <f t="shared" si="0"/>
        <v>3.6913439422554915E-6</v>
      </c>
    </row>
    <row r="30" spans="1:4" x14ac:dyDescent="0.25">
      <c r="A30" s="10">
        <v>2014</v>
      </c>
      <c r="B30" s="2">
        <v>1707.6569999999999</v>
      </c>
      <c r="C30" s="5">
        <v>378416.02053371473</v>
      </c>
      <c r="D30" s="63">
        <f t="shared" si="0"/>
        <v>4.512644569306382E-6</v>
      </c>
    </row>
    <row r="31" spans="1:4" x14ac:dyDescent="0.25">
      <c r="A31" s="11">
        <v>2015</v>
      </c>
      <c r="B31" s="2">
        <v>2333.547</v>
      </c>
      <c r="C31" s="6">
        <v>292080.15563330991</v>
      </c>
      <c r="D31" s="63">
        <f t="shared" si="0"/>
        <v>7.9894061783835681E-6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122</v>
      </c>
      <c r="C35" s="13" t="s">
        <v>9</v>
      </c>
      <c r="D35" s="14" t="s">
        <v>40</v>
      </c>
    </row>
    <row r="36" spans="1:10" x14ac:dyDescent="0.25">
      <c r="A36" s="10">
        <v>1991</v>
      </c>
      <c r="B36" s="2">
        <v>1806.394</v>
      </c>
      <c r="C36" s="5">
        <v>41239.551378248172</v>
      </c>
      <c r="D36" s="63">
        <f t="shared" ref="D36:D60" si="1">(B36/C36)/1000</f>
        <v>4.3802464857869034E-5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2">
        <v>3152.6379999999999</v>
      </c>
      <c r="C37" s="5">
        <v>49279.585355094838</v>
      </c>
      <c r="D37" s="63">
        <f t="shared" si="1"/>
        <v>6.3974523675127873E-5</v>
      </c>
    </row>
    <row r="38" spans="1:10" x14ac:dyDescent="0.25">
      <c r="A38" s="10">
        <v>1993</v>
      </c>
      <c r="B38" s="2">
        <v>3215.2869999999998</v>
      </c>
      <c r="C38" s="5">
        <v>55802.540100979531</v>
      </c>
      <c r="D38" s="63">
        <f t="shared" si="1"/>
        <v>5.7619007919382515E-5</v>
      </c>
    </row>
    <row r="39" spans="1:10" x14ac:dyDescent="0.25">
      <c r="A39" s="10">
        <v>1994</v>
      </c>
      <c r="B39" s="2">
        <v>4474.9809999999998</v>
      </c>
      <c r="C39" s="5">
        <v>81703.496603993364</v>
      </c>
      <c r="D39" s="63">
        <f t="shared" si="1"/>
        <v>5.4770985159786654E-5</v>
      </c>
    </row>
    <row r="40" spans="1:10" x14ac:dyDescent="0.25">
      <c r="A40" s="10">
        <v>1995</v>
      </c>
      <c r="B40" s="2">
        <v>3992.277</v>
      </c>
      <c r="C40" s="5">
        <v>92507.277798198498</v>
      </c>
      <c r="D40" s="63">
        <f t="shared" si="1"/>
        <v>4.3156355856768557E-5</v>
      </c>
    </row>
    <row r="41" spans="1:10" x14ac:dyDescent="0.25">
      <c r="A41" s="10">
        <v>1996</v>
      </c>
      <c r="B41" s="2">
        <v>5379.8019999999997</v>
      </c>
      <c r="C41" s="5">
        <v>97160.111573336981</v>
      </c>
      <c r="D41" s="63">
        <f t="shared" si="1"/>
        <v>5.5370479849020097E-5</v>
      </c>
    </row>
    <row r="42" spans="1:10" x14ac:dyDescent="0.25">
      <c r="A42" s="10">
        <v>1997</v>
      </c>
      <c r="B42" s="2">
        <v>3821.105</v>
      </c>
      <c r="C42" s="5">
        <v>106659.5079635281</v>
      </c>
      <c r="D42" s="63">
        <f t="shared" si="1"/>
        <v>3.5825263710260277E-5</v>
      </c>
    </row>
    <row r="43" spans="1:10" x14ac:dyDescent="0.25">
      <c r="A43" s="10">
        <v>1998</v>
      </c>
      <c r="B43" s="2">
        <v>3538.69</v>
      </c>
      <c r="C43" s="5">
        <v>98443.743190849113</v>
      </c>
      <c r="D43" s="63">
        <f t="shared" si="1"/>
        <v>3.5946317006045543E-5</v>
      </c>
    </row>
    <row r="44" spans="1:10" x14ac:dyDescent="0.25">
      <c r="A44" s="10">
        <v>1999</v>
      </c>
      <c r="B44" s="2">
        <v>3328.6469999999999</v>
      </c>
      <c r="C44" s="5">
        <v>86186.156584381664</v>
      </c>
      <c r="D44" s="63">
        <f t="shared" si="1"/>
        <v>3.8621596923643363E-5</v>
      </c>
    </row>
    <row r="45" spans="1:10" x14ac:dyDescent="0.25">
      <c r="A45" s="10">
        <v>2000</v>
      </c>
      <c r="B45" s="2">
        <v>2423.2669999999998</v>
      </c>
      <c r="C45" s="5">
        <v>99886.577575544405</v>
      </c>
      <c r="D45" s="63">
        <f t="shared" si="1"/>
        <v>2.4260186491696328E-5</v>
      </c>
    </row>
    <row r="46" spans="1:10" x14ac:dyDescent="0.25">
      <c r="A46" s="10">
        <v>2001</v>
      </c>
      <c r="B46" s="2">
        <v>3458.69</v>
      </c>
      <c r="C46" s="5">
        <v>98203.544965267793</v>
      </c>
      <c r="D46" s="63">
        <f t="shared" si="1"/>
        <v>3.5219604355660015E-5</v>
      </c>
    </row>
    <row r="47" spans="1:10" x14ac:dyDescent="0.25">
      <c r="A47" s="10">
        <v>2002</v>
      </c>
      <c r="B47" s="2">
        <v>3495.8850000000002</v>
      </c>
      <c r="C47" s="5">
        <v>97933.392356425262</v>
      </c>
      <c r="D47" s="63">
        <f t="shared" si="1"/>
        <v>3.5696557791818802E-5</v>
      </c>
    </row>
    <row r="48" spans="1:10" x14ac:dyDescent="0.25">
      <c r="A48" s="10">
        <v>2003</v>
      </c>
      <c r="B48" s="2">
        <v>4221.4390000000003</v>
      </c>
      <c r="C48" s="5">
        <v>94684.582573316715</v>
      </c>
      <c r="D48" s="63">
        <f t="shared" si="1"/>
        <v>4.4584227814821185E-5</v>
      </c>
    </row>
    <row r="49" spans="1:10" x14ac:dyDescent="0.25">
      <c r="A49" s="10">
        <v>2004</v>
      </c>
      <c r="B49" s="2">
        <v>2268.058</v>
      </c>
      <c r="C49" s="5">
        <v>117074.86551527939</v>
      </c>
      <c r="D49" s="63">
        <f t="shared" si="1"/>
        <v>1.9372714971891184E-5</v>
      </c>
    </row>
    <row r="50" spans="1:10" x14ac:dyDescent="0.25">
      <c r="A50" s="10">
        <v>2005</v>
      </c>
      <c r="B50" s="2">
        <v>3775.5949999999998</v>
      </c>
      <c r="C50" s="5">
        <v>146566.26631057015</v>
      </c>
      <c r="D50" s="63">
        <f t="shared" si="1"/>
        <v>2.5760327359363928E-5</v>
      </c>
    </row>
    <row r="51" spans="1:10" x14ac:dyDescent="0.25">
      <c r="A51" s="10">
        <v>2006</v>
      </c>
      <c r="B51" s="2">
        <v>3769.5279999999998</v>
      </c>
      <c r="C51" s="5">
        <v>162590.1460964143</v>
      </c>
      <c r="D51" s="63">
        <f t="shared" si="1"/>
        <v>2.3184234041863201E-5</v>
      </c>
    </row>
    <row r="52" spans="1:10" x14ac:dyDescent="0.25">
      <c r="A52" s="10">
        <v>2007</v>
      </c>
      <c r="B52" s="2">
        <v>4219.6670000000004</v>
      </c>
      <c r="C52" s="5">
        <v>207416.49464237894</v>
      </c>
      <c r="D52" s="63">
        <f t="shared" si="1"/>
        <v>2.0343931697792015E-5</v>
      </c>
    </row>
    <row r="53" spans="1:10" x14ac:dyDescent="0.25">
      <c r="A53" s="10">
        <v>2008</v>
      </c>
      <c r="B53" s="2">
        <v>4908.3850000000002</v>
      </c>
      <c r="C53" s="5">
        <v>243982.43787084011</v>
      </c>
      <c r="D53" s="63">
        <f t="shared" si="1"/>
        <v>2.0117779963320191E-5</v>
      </c>
    </row>
    <row r="54" spans="1:10" x14ac:dyDescent="0.25">
      <c r="A54" s="10">
        <v>2009</v>
      </c>
      <c r="B54" s="2">
        <v>4795.9279999999999</v>
      </c>
      <c r="C54" s="5">
        <v>233821.6705442575</v>
      </c>
      <c r="D54" s="63">
        <f t="shared" si="1"/>
        <v>2.0511050104281212E-5</v>
      </c>
    </row>
    <row r="55" spans="1:10" x14ac:dyDescent="0.25">
      <c r="A55" s="10">
        <v>2010</v>
      </c>
      <c r="B55" s="2">
        <v>912.50599999999997</v>
      </c>
      <c r="C55" s="5">
        <v>287018.18463752925</v>
      </c>
      <c r="D55" s="63">
        <f t="shared" si="1"/>
        <v>3.1792619730780801E-6</v>
      </c>
    </row>
    <row r="56" spans="1:10" x14ac:dyDescent="0.25">
      <c r="A56" s="10">
        <v>2011</v>
      </c>
      <c r="B56" s="2">
        <v>1611.5440000000001</v>
      </c>
      <c r="C56" s="5">
        <v>335415.15670218616</v>
      </c>
      <c r="D56" s="63">
        <f t="shared" si="1"/>
        <v>4.8046248590694544E-6</v>
      </c>
    </row>
    <row r="57" spans="1:10" x14ac:dyDescent="0.25">
      <c r="A57" s="10">
        <v>2012</v>
      </c>
      <c r="B57" s="2">
        <v>1734.827</v>
      </c>
      <c r="C57" s="5">
        <v>369659.70037551981</v>
      </c>
      <c r="D57" s="63">
        <f t="shared" si="1"/>
        <v>4.6930379433778452E-6</v>
      </c>
    </row>
    <row r="58" spans="1:10" x14ac:dyDescent="0.25">
      <c r="A58" s="10">
        <v>2013</v>
      </c>
      <c r="B58" s="2">
        <v>1652.723</v>
      </c>
      <c r="C58" s="5">
        <v>380191.88186037214</v>
      </c>
      <c r="D58" s="63">
        <f t="shared" si="1"/>
        <v>4.3470759867696829E-6</v>
      </c>
    </row>
    <row r="59" spans="1:10" x14ac:dyDescent="0.25">
      <c r="A59" s="10">
        <v>2014</v>
      </c>
      <c r="B59" s="2">
        <v>1246.8779999999999</v>
      </c>
      <c r="C59" s="5">
        <v>378416.02053371473</v>
      </c>
      <c r="D59" s="63">
        <f t="shared" si="1"/>
        <v>3.2949926333494384E-6</v>
      </c>
    </row>
    <row r="60" spans="1:10" x14ac:dyDescent="0.25">
      <c r="A60" s="11">
        <v>2015</v>
      </c>
      <c r="B60" s="2">
        <v>520.46799999999996</v>
      </c>
      <c r="C60" s="6">
        <v>292080.15563330991</v>
      </c>
      <c r="D60" s="63">
        <f t="shared" si="1"/>
        <v>1.7819355062704706E-6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60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123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2">
        <v>1806.394</v>
      </c>
      <c r="C66" s="5">
        <v>6174.0429999999997</v>
      </c>
      <c r="D66" s="64">
        <f t="shared" ref="D66:D90" si="2">(B66/C66)/1000000000</f>
        <v>2.9257878508458723E-10</v>
      </c>
      <c r="E66" s="1"/>
    </row>
    <row r="67" spans="1:5" x14ac:dyDescent="0.25">
      <c r="A67" s="10">
        <v>1992</v>
      </c>
      <c r="B67" s="2">
        <v>3152.6379999999999</v>
      </c>
      <c r="C67" s="5">
        <v>6539.299</v>
      </c>
      <c r="D67" s="64">
        <f t="shared" si="2"/>
        <v>4.8210641538183221E-10</v>
      </c>
      <c r="E67" s="1"/>
    </row>
    <row r="68" spans="1:5" x14ac:dyDescent="0.25">
      <c r="A68" s="10">
        <v>1993</v>
      </c>
      <c r="B68" s="2">
        <v>3215.2869999999998</v>
      </c>
      <c r="C68" s="5">
        <v>6878.7179999999998</v>
      </c>
      <c r="D68" s="64">
        <f t="shared" si="2"/>
        <v>4.6742532547489221E-10</v>
      </c>
      <c r="E68" s="1"/>
    </row>
    <row r="69" spans="1:5" x14ac:dyDescent="0.25">
      <c r="A69" s="10">
        <v>1994</v>
      </c>
      <c r="B69" s="2">
        <v>4474.9809999999998</v>
      </c>
      <c r="C69" s="5">
        <v>7308.7550000000001</v>
      </c>
      <c r="D69" s="64">
        <f t="shared" si="2"/>
        <v>6.1227678311832854E-10</v>
      </c>
      <c r="E69" s="1"/>
    </row>
    <row r="70" spans="1:5" x14ac:dyDescent="0.25">
      <c r="A70" s="10">
        <v>1995</v>
      </c>
      <c r="B70" s="2">
        <v>3992.277</v>
      </c>
      <c r="C70" s="5">
        <v>7664.06</v>
      </c>
      <c r="D70" s="64">
        <f t="shared" si="2"/>
        <v>5.2090889163185047E-10</v>
      </c>
      <c r="E70" s="1"/>
    </row>
    <row r="71" spans="1:5" x14ac:dyDescent="0.25">
      <c r="A71" s="10">
        <v>1996</v>
      </c>
      <c r="B71" s="2">
        <v>5379.8019999999997</v>
      </c>
      <c r="C71" s="5">
        <v>8100.201</v>
      </c>
      <c r="D71" s="64">
        <f t="shared" si="2"/>
        <v>6.6415660549657967E-10</v>
      </c>
      <c r="E71" s="1"/>
    </row>
    <row r="72" spans="1:5" x14ac:dyDescent="0.25">
      <c r="A72" s="10">
        <v>1997</v>
      </c>
      <c r="B72" s="2">
        <v>3821.105</v>
      </c>
      <c r="C72" s="5">
        <v>8608.5149999999994</v>
      </c>
      <c r="D72" s="64">
        <f t="shared" si="2"/>
        <v>4.4387504697383929E-10</v>
      </c>
      <c r="E72" s="1"/>
    </row>
    <row r="73" spans="1:5" x14ac:dyDescent="0.25">
      <c r="A73" s="10">
        <v>1998</v>
      </c>
      <c r="B73" s="2">
        <v>3538.69</v>
      </c>
      <c r="C73" s="5">
        <v>9089.1679999999997</v>
      </c>
      <c r="D73" s="64">
        <f t="shared" si="2"/>
        <v>3.8933046457057455E-10</v>
      </c>
      <c r="E73" s="1"/>
    </row>
    <row r="74" spans="1:5" x14ac:dyDescent="0.25">
      <c r="A74" s="10">
        <v>1999</v>
      </c>
      <c r="B74" s="2">
        <v>3328.6469999999999</v>
      </c>
      <c r="C74" s="5">
        <v>9660.6239999999998</v>
      </c>
      <c r="D74" s="64">
        <f t="shared" si="2"/>
        <v>3.4455817760840295E-10</v>
      </c>
      <c r="E74" s="1"/>
    </row>
    <row r="75" spans="1:5" x14ac:dyDescent="0.25">
      <c r="A75" s="10">
        <v>2000</v>
      </c>
      <c r="B75" s="2">
        <v>2423.2669999999998</v>
      </c>
      <c r="C75" s="5">
        <v>10284.779</v>
      </c>
      <c r="D75" s="64">
        <f t="shared" si="2"/>
        <v>2.3561682754680482E-10</v>
      </c>
      <c r="E75" s="1"/>
    </row>
    <row r="76" spans="1:5" x14ac:dyDescent="0.25">
      <c r="A76" s="10">
        <v>2001</v>
      </c>
      <c r="B76" s="2">
        <v>3458.69</v>
      </c>
      <c r="C76" s="5">
        <v>10621.824000000001</v>
      </c>
      <c r="D76" s="64">
        <f t="shared" si="2"/>
        <v>3.2562109859850814E-10</v>
      </c>
      <c r="E76" s="1"/>
    </row>
    <row r="77" spans="1:5" x14ac:dyDescent="0.25">
      <c r="A77" s="10">
        <v>2002</v>
      </c>
      <c r="B77" s="2">
        <v>3495.8850000000002</v>
      </c>
      <c r="C77" s="5">
        <v>10977.513999999999</v>
      </c>
      <c r="D77" s="64">
        <f t="shared" si="2"/>
        <v>3.184587147873371E-10</v>
      </c>
      <c r="E77" s="1"/>
    </row>
    <row r="78" spans="1:5" x14ac:dyDescent="0.25">
      <c r="A78" s="10">
        <v>2003</v>
      </c>
      <c r="B78" s="2">
        <v>4221.4390000000003</v>
      </c>
      <c r="C78" s="5">
        <v>11510.67</v>
      </c>
      <c r="D78" s="64">
        <f t="shared" si="2"/>
        <v>3.6674137995442489E-10</v>
      </c>
      <c r="E78" s="1"/>
    </row>
    <row r="79" spans="1:5" x14ac:dyDescent="0.25">
      <c r="A79" s="10">
        <v>2004</v>
      </c>
      <c r="B79" s="2">
        <v>2268.058</v>
      </c>
      <c r="C79" s="5">
        <v>12274.928</v>
      </c>
      <c r="D79" s="64">
        <f t="shared" si="2"/>
        <v>1.8477159295761248E-10</v>
      </c>
      <c r="E79" s="1"/>
    </row>
    <row r="80" spans="1:5" x14ac:dyDescent="0.25">
      <c r="A80" s="10">
        <v>2005</v>
      </c>
      <c r="B80" s="2">
        <v>3775.5949999999998</v>
      </c>
      <c r="C80" s="5">
        <v>13093.726000000001</v>
      </c>
      <c r="D80" s="64">
        <f t="shared" si="2"/>
        <v>2.8835145931723326E-10</v>
      </c>
      <c r="E80" s="1"/>
    </row>
    <row r="81" spans="1:10" x14ac:dyDescent="0.25">
      <c r="A81" s="10">
        <v>2006</v>
      </c>
      <c r="B81" s="2">
        <v>3769.5279999999998</v>
      </c>
      <c r="C81" s="5">
        <v>13855.888000000001</v>
      </c>
      <c r="D81" s="64">
        <f t="shared" si="2"/>
        <v>2.7205242998499983E-10</v>
      </c>
      <c r="E81" s="1"/>
    </row>
    <row r="82" spans="1:10" x14ac:dyDescent="0.25">
      <c r="A82" s="10">
        <v>2007</v>
      </c>
      <c r="B82" s="2">
        <v>4219.6670000000004</v>
      </c>
      <c r="C82" s="5">
        <v>14477.635</v>
      </c>
      <c r="D82" s="64">
        <f t="shared" si="2"/>
        <v>2.9146107081716046E-10</v>
      </c>
      <c r="E82" s="1"/>
    </row>
    <row r="83" spans="1:10" x14ac:dyDescent="0.25">
      <c r="A83" s="10">
        <v>2008</v>
      </c>
      <c r="B83" s="2">
        <v>4908.3850000000002</v>
      </c>
      <c r="C83" s="5">
        <v>14718.582</v>
      </c>
      <c r="D83" s="64">
        <f t="shared" si="2"/>
        <v>3.3348219278188616E-10</v>
      </c>
      <c r="E83" s="1"/>
    </row>
    <row r="84" spans="1:10" x14ac:dyDescent="0.25">
      <c r="A84" s="10">
        <v>2009</v>
      </c>
      <c r="B84" s="2">
        <v>4795.9279999999999</v>
      </c>
      <c r="C84" s="5">
        <v>14418.739</v>
      </c>
      <c r="D84" s="64">
        <f t="shared" si="2"/>
        <v>3.3261771365720679E-10</v>
      </c>
      <c r="E84" s="1"/>
    </row>
    <row r="85" spans="1:10" x14ac:dyDescent="0.25">
      <c r="A85" s="10">
        <v>2010</v>
      </c>
      <c r="B85" s="2">
        <v>912.50599999999997</v>
      </c>
      <c r="C85" s="5">
        <v>14964.371999999999</v>
      </c>
      <c r="D85" s="64">
        <f t="shared" si="2"/>
        <v>6.0978569631923078E-11</v>
      </c>
      <c r="E85" s="1"/>
    </row>
    <row r="86" spans="1:10" x14ac:dyDescent="0.25">
      <c r="A86" s="10">
        <v>2011</v>
      </c>
      <c r="B86" s="2">
        <v>1611.5440000000001</v>
      </c>
      <c r="C86" s="5">
        <v>15517.925999999999</v>
      </c>
      <c r="D86" s="64">
        <f t="shared" si="2"/>
        <v>1.0385047589478132E-10</v>
      </c>
      <c r="E86" s="1"/>
    </row>
    <row r="87" spans="1:10" x14ac:dyDescent="0.25">
      <c r="A87" s="10">
        <v>2012</v>
      </c>
      <c r="B87" s="2">
        <v>1734.827</v>
      </c>
      <c r="C87" s="5">
        <v>16155.254999999999</v>
      </c>
      <c r="D87" s="64">
        <f t="shared" si="2"/>
        <v>1.0738468690218755E-10</v>
      </c>
      <c r="E87" s="1"/>
    </row>
    <row r="88" spans="1:10" x14ac:dyDescent="0.25">
      <c r="A88" s="10">
        <v>2013</v>
      </c>
      <c r="B88" s="2">
        <v>1652.723</v>
      </c>
      <c r="C88" s="5">
        <v>16663.16</v>
      </c>
      <c r="D88" s="64">
        <f t="shared" si="2"/>
        <v>9.9184248365856179E-11</v>
      </c>
      <c r="E88" s="1"/>
    </row>
    <row r="89" spans="1:10" x14ac:dyDescent="0.25">
      <c r="A89" s="10">
        <v>2014</v>
      </c>
      <c r="B89" s="2">
        <v>1246.8779999999999</v>
      </c>
      <c r="C89" s="5">
        <v>17348.071499999998</v>
      </c>
      <c r="D89" s="64">
        <f t="shared" si="2"/>
        <v>7.1874156156204465E-11</v>
      </c>
      <c r="E89" s="1"/>
    </row>
    <row r="90" spans="1:10" x14ac:dyDescent="0.25">
      <c r="A90" s="11">
        <v>2015</v>
      </c>
      <c r="B90" s="2">
        <v>520.46799999999996</v>
      </c>
      <c r="C90" s="5">
        <v>17946.995999999999</v>
      </c>
      <c r="D90" s="64">
        <f t="shared" si="2"/>
        <v>2.9000285061633712E-11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60" x14ac:dyDescent="0.25">
      <c r="A95" s="12" t="s">
        <v>3</v>
      </c>
      <c r="B95" s="13" t="s">
        <v>125</v>
      </c>
      <c r="C95" s="13" t="s">
        <v>7</v>
      </c>
      <c r="D95" s="14" t="s">
        <v>43</v>
      </c>
    </row>
    <row r="96" spans="1:10" x14ac:dyDescent="0.25">
      <c r="A96" s="10">
        <v>1991</v>
      </c>
      <c r="B96" s="2">
        <v>734.10299999999995</v>
      </c>
      <c r="C96" s="5">
        <v>6174.0429999999997</v>
      </c>
      <c r="D96" s="64">
        <f>(B96/C96)/1000000000</f>
        <v>1.1890150424932254E-10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>
        <v>1414.192</v>
      </c>
      <c r="C97" s="5">
        <v>6539.299</v>
      </c>
      <c r="D97" s="64">
        <f t="shared" ref="D97:D120" si="3">(B97/C97)/1000000000</f>
        <v>2.1626048908300416E-10</v>
      </c>
    </row>
    <row r="98" spans="1:4" x14ac:dyDescent="0.25">
      <c r="A98" s="10">
        <v>1993</v>
      </c>
      <c r="B98" s="2">
        <v>2008.502</v>
      </c>
      <c r="C98" s="5">
        <v>6878.7179999999998</v>
      </c>
      <c r="D98" s="64">
        <f t="shared" si="3"/>
        <v>2.9198783843152172E-10</v>
      </c>
    </row>
    <row r="99" spans="1:4" x14ac:dyDescent="0.25">
      <c r="A99" s="10">
        <v>1994</v>
      </c>
      <c r="B99" s="2">
        <v>2032.5329999999999</v>
      </c>
      <c r="C99" s="5">
        <v>7308.7550000000001</v>
      </c>
      <c r="D99" s="64">
        <f t="shared" si="3"/>
        <v>2.7809565377413796E-10</v>
      </c>
    </row>
    <row r="100" spans="1:4" x14ac:dyDescent="0.25">
      <c r="A100" s="10">
        <v>1995</v>
      </c>
      <c r="B100" s="2">
        <v>2091.5880000000002</v>
      </c>
      <c r="C100" s="5">
        <v>7664.06</v>
      </c>
      <c r="D100" s="64">
        <f t="shared" si="3"/>
        <v>2.7290861501606201E-10</v>
      </c>
    </row>
    <row r="101" spans="1:4" x14ac:dyDescent="0.25">
      <c r="A101" s="10">
        <v>1996</v>
      </c>
      <c r="B101" s="2">
        <v>1953.7819999999999</v>
      </c>
      <c r="C101" s="5">
        <v>8100.201</v>
      </c>
      <c r="D101" s="64">
        <f t="shared" si="3"/>
        <v>2.4120166894623973E-10</v>
      </c>
    </row>
    <row r="102" spans="1:4" x14ac:dyDescent="0.25">
      <c r="A102" s="10">
        <v>1997</v>
      </c>
      <c r="B102" s="2">
        <v>1089.6410000000001</v>
      </c>
      <c r="C102" s="5">
        <v>8608.5149999999994</v>
      </c>
      <c r="D102" s="64">
        <f t="shared" si="3"/>
        <v>1.2657711579755626E-10</v>
      </c>
    </row>
    <row r="103" spans="1:4" x14ac:dyDescent="0.25">
      <c r="A103" s="10">
        <v>1998</v>
      </c>
      <c r="B103" s="2">
        <v>943.56700000000001</v>
      </c>
      <c r="C103" s="5">
        <v>9089.1679999999997</v>
      </c>
      <c r="D103" s="64">
        <f t="shared" si="3"/>
        <v>1.0381225212252651E-10</v>
      </c>
    </row>
    <row r="104" spans="1:4" x14ac:dyDescent="0.25">
      <c r="A104" s="10">
        <v>1999</v>
      </c>
      <c r="B104" s="2">
        <v>1843.0740000000001</v>
      </c>
      <c r="C104" s="5">
        <v>9660.6239999999998</v>
      </c>
      <c r="D104" s="64">
        <f t="shared" si="3"/>
        <v>1.907820861261136E-10</v>
      </c>
    </row>
    <row r="105" spans="1:4" x14ac:dyDescent="0.25">
      <c r="A105" s="10">
        <v>2000</v>
      </c>
      <c r="B105" s="2">
        <v>1791.836</v>
      </c>
      <c r="C105" s="5">
        <v>10284.779</v>
      </c>
      <c r="D105" s="64">
        <f t="shared" si="3"/>
        <v>1.7422211989192963E-10</v>
      </c>
    </row>
    <row r="106" spans="1:4" x14ac:dyDescent="0.25">
      <c r="A106" s="10">
        <v>2001</v>
      </c>
      <c r="B106" s="2">
        <v>1957.27</v>
      </c>
      <c r="C106" s="5">
        <v>10621.824000000001</v>
      </c>
      <c r="D106" s="64">
        <f t="shared" si="3"/>
        <v>1.8426872823349361E-10</v>
      </c>
    </row>
    <row r="107" spans="1:4" x14ac:dyDescent="0.25">
      <c r="A107" s="10">
        <v>2002</v>
      </c>
      <c r="B107" s="2">
        <v>1236.923</v>
      </c>
      <c r="C107" s="5">
        <v>10977.513999999999</v>
      </c>
      <c r="D107" s="64">
        <f t="shared" si="3"/>
        <v>1.1267787952718622E-10</v>
      </c>
    </row>
    <row r="108" spans="1:4" x14ac:dyDescent="0.25">
      <c r="A108" s="10">
        <v>2003</v>
      </c>
      <c r="B108" s="2">
        <v>1441.682</v>
      </c>
      <c r="C108" s="5">
        <v>11510.67</v>
      </c>
      <c r="D108" s="64">
        <f t="shared" si="3"/>
        <v>1.2524744432774111E-10</v>
      </c>
    </row>
    <row r="109" spans="1:4" x14ac:dyDescent="0.25">
      <c r="A109" s="10">
        <v>2004</v>
      </c>
      <c r="B109" s="2">
        <v>2121.6509999999998</v>
      </c>
      <c r="C109" s="5">
        <v>12274.928</v>
      </c>
      <c r="D109" s="64">
        <f t="shared" si="3"/>
        <v>1.7284427248778976E-10</v>
      </c>
    </row>
    <row r="110" spans="1:4" x14ac:dyDescent="0.25">
      <c r="A110" s="10">
        <v>2005</v>
      </c>
      <c r="B110" s="2">
        <v>3450.0210000000002</v>
      </c>
      <c r="C110" s="5">
        <v>13093.726000000001</v>
      </c>
      <c r="D110" s="64">
        <f t="shared" si="3"/>
        <v>2.6348657364603472E-10</v>
      </c>
    </row>
    <row r="111" spans="1:4" x14ac:dyDescent="0.25">
      <c r="A111" s="10">
        <v>2006</v>
      </c>
      <c r="B111" s="2">
        <v>1953.683</v>
      </c>
      <c r="C111" s="5">
        <v>13855.888000000001</v>
      </c>
      <c r="D111" s="64">
        <f t="shared" si="3"/>
        <v>1.410002015027835E-10</v>
      </c>
    </row>
    <row r="112" spans="1:4" x14ac:dyDescent="0.25">
      <c r="A112" s="10">
        <v>2007</v>
      </c>
      <c r="B112" s="2">
        <v>2639.74</v>
      </c>
      <c r="C112" s="5">
        <v>14477.635</v>
      </c>
      <c r="D112" s="64">
        <f t="shared" si="3"/>
        <v>1.8233226628520472E-10</v>
      </c>
    </row>
    <row r="113" spans="1:10" x14ac:dyDescent="0.25">
      <c r="A113" s="10">
        <v>2008</v>
      </c>
      <c r="B113" s="2">
        <v>1717.326</v>
      </c>
      <c r="C113" s="5">
        <v>14718.582</v>
      </c>
      <c r="D113" s="64">
        <f t="shared" si="3"/>
        <v>1.1667740819054445E-10</v>
      </c>
    </row>
    <row r="114" spans="1:10" x14ac:dyDescent="0.25">
      <c r="A114" s="10">
        <v>2009</v>
      </c>
      <c r="B114" s="2">
        <v>1575.6310000000001</v>
      </c>
      <c r="C114" s="5">
        <v>14418.739</v>
      </c>
      <c r="D114" s="64">
        <f t="shared" si="3"/>
        <v>1.0927661565966346E-10</v>
      </c>
    </row>
    <row r="115" spans="1:10" x14ac:dyDescent="0.25">
      <c r="A115" s="10">
        <v>2010</v>
      </c>
      <c r="B115" s="2">
        <v>1504.893</v>
      </c>
      <c r="C115" s="5">
        <v>14964.371999999999</v>
      </c>
      <c r="D115" s="64">
        <f t="shared" si="3"/>
        <v>1.0056506213558444E-10</v>
      </c>
    </row>
    <row r="116" spans="1:10" x14ac:dyDescent="0.25">
      <c r="A116" s="10">
        <v>2011</v>
      </c>
      <c r="B116" s="2">
        <v>972.726</v>
      </c>
      <c r="C116" s="5">
        <v>15517.925999999999</v>
      </c>
      <c r="D116" s="64">
        <f t="shared" si="3"/>
        <v>6.2684021047658048E-11</v>
      </c>
    </row>
    <row r="117" spans="1:10" x14ac:dyDescent="0.25">
      <c r="A117" s="10">
        <v>2012</v>
      </c>
      <c r="B117" s="2">
        <v>1055.278</v>
      </c>
      <c r="C117" s="5">
        <v>16155.254999999999</v>
      </c>
      <c r="D117" s="64">
        <f t="shared" si="3"/>
        <v>6.5321036405801086E-11</v>
      </c>
    </row>
    <row r="118" spans="1:10" x14ac:dyDescent="0.25">
      <c r="A118" s="10">
        <v>2013</v>
      </c>
      <c r="B118" s="2">
        <v>1403.4190000000001</v>
      </c>
      <c r="C118" s="5">
        <v>16663.16</v>
      </c>
      <c r="D118" s="64">
        <f t="shared" si="3"/>
        <v>8.422286048984707E-11</v>
      </c>
    </row>
    <row r="119" spans="1:10" x14ac:dyDescent="0.25">
      <c r="A119" s="10">
        <v>2014</v>
      </c>
      <c r="B119" s="2">
        <v>1707.6569999999999</v>
      </c>
      <c r="C119" s="5">
        <v>17348.071499999998</v>
      </c>
      <c r="D119" s="64">
        <f t="shared" si="3"/>
        <v>9.8434975899194335E-11</v>
      </c>
    </row>
    <row r="120" spans="1:10" x14ac:dyDescent="0.25">
      <c r="A120" s="11">
        <v>2015</v>
      </c>
      <c r="B120" s="2">
        <v>2333.547</v>
      </c>
      <c r="C120" s="5">
        <v>17946.995999999999</v>
      </c>
      <c r="D120" s="64">
        <f t="shared" si="3"/>
        <v>1.3002437845308486E-10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124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3">
        <f>B7+B36</f>
        <v>2540.4969999999998</v>
      </c>
      <c r="C125" s="5">
        <v>41239.551378248201</v>
      </c>
      <c r="D125" s="63">
        <f t="shared" ref="D125:D149" si="4">(B125/C125)/1000</f>
        <v>6.1603410199558687E-5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3">
        <f t="shared" ref="B126:B149" si="5">B8+B37</f>
        <v>4566.83</v>
      </c>
      <c r="C126" s="5">
        <v>49279.585355094838</v>
      </c>
      <c r="D126" s="63">
        <f t="shared" si="4"/>
        <v>9.2671843058189443E-5</v>
      </c>
      <c r="I126" s="42"/>
    </row>
    <row r="127" spans="1:10" x14ac:dyDescent="0.25">
      <c r="A127" s="10">
        <v>1993</v>
      </c>
      <c r="B127" s="3">
        <f t="shared" si="5"/>
        <v>5223.7889999999998</v>
      </c>
      <c r="C127" s="5">
        <v>55802.540100979531</v>
      </c>
      <c r="D127" s="63">
        <f t="shared" si="4"/>
        <v>9.3612028960457727E-5</v>
      </c>
    </row>
    <row r="128" spans="1:10" x14ac:dyDescent="0.25">
      <c r="A128" s="10">
        <v>1994</v>
      </c>
      <c r="B128" s="3">
        <f t="shared" si="5"/>
        <v>6507.5139999999992</v>
      </c>
      <c r="C128" s="5">
        <v>81703.496603993364</v>
      </c>
      <c r="D128" s="63">
        <f t="shared" si="4"/>
        <v>7.9647925370209135E-5</v>
      </c>
    </row>
    <row r="129" spans="1:4" x14ac:dyDescent="0.25">
      <c r="A129" s="10">
        <v>1995</v>
      </c>
      <c r="B129" s="3">
        <f t="shared" si="5"/>
        <v>6083.8649999999998</v>
      </c>
      <c r="C129" s="5">
        <v>92507.277798198498</v>
      </c>
      <c r="D129" s="63">
        <f t="shared" si="4"/>
        <v>6.5766339090333469E-5</v>
      </c>
    </row>
    <row r="130" spans="1:4" x14ac:dyDescent="0.25">
      <c r="A130" s="10">
        <v>1996</v>
      </c>
      <c r="B130" s="3">
        <f t="shared" si="5"/>
        <v>7333.5839999999998</v>
      </c>
      <c r="C130" s="5">
        <v>97160.111573336981</v>
      </c>
      <c r="D130" s="63">
        <f t="shared" si="4"/>
        <v>7.5479369890024995E-5</v>
      </c>
    </row>
    <row r="131" spans="1:4" x14ac:dyDescent="0.25">
      <c r="A131" s="10">
        <v>1997</v>
      </c>
      <c r="B131" s="3">
        <f t="shared" si="5"/>
        <v>4910.7460000000001</v>
      </c>
      <c r="C131" s="5">
        <v>106659.5079635281</v>
      </c>
      <c r="D131" s="63">
        <f t="shared" si="4"/>
        <v>4.6041333714751574E-5</v>
      </c>
    </row>
    <row r="132" spans="1:4" x14ac:dyDescent="0.25">
      <c r="A132" s="10">
        <v>1998</v>
      </c>
      <c r="B132" s="3">
        <f t="shared" si="5"/>
        <v>4482.2569999999996</v>
      </c>
      <c r="C132" s="5">
        <v>98443.743190849113</v>
      </c>
      <c r="D132" s="63">
        <f t="shared" si="4"/>
        <v>4.5531151647803759E-5</v>
      </c>
    </row>
    <row r="133" spans="1:4" x14ac:dyDescent="0.25">
      <c r="A133" s="10">
        <v>1999</v>
      </c>
      <c r="B133" s="3">
        <f t="shared" si="5"/>
        <v>5171.7209999999995</v>
      </c>
      <c r="C133" s="5">
        <v>86186.156584381664</v>
      </c>
      <c r="D133" s="63">
        <f t="shared" si="4"/>
        <v>6.0006400157043319E-5</v>
      </c>
    </row>
    <row r="134" spans="1:4" x14ac:dyDescent="0.25">
      <c r="A134" s="10">
        <v>2000</v>
      </c>
      <c r="B134" s="3">
        <f t="shared" si="5"/>
        <v>4215.1030000000001</v>
      </c>
      <c r="C134" s="5">
        <v>99886.577575544405</v>
      </c>
      <c r="D134" s="63">
        <f t="shared" si="4"/>
        <v>4.2198893007542579E-5</v>
      </c>
    </row>
    <row r="135" spans="1:4" x14ac:dyDescent="0.25">
      <c r="A135" s="10">
        <v>2001</v>
      </c>
      <c r="B135" s="3">
        <f t="shared" si="5"/>
        <v>5415.96</v>
      </c>
      <c r="C135" s="5">
        <v>98203.544965267793</v>
      </c>
      <c r="D135" s="63">
        <f t="shared" si="4"/>
        <v>5.5150351261917209E-5</v>
      </c>
    </row>
    <row r="136" spans="1:4" x14ac:dyDescent="0.25">
      <c r="A136" s="10">
        <v>2002</v>
      </c>
      <c r="B136" s="3">
        <f t="shared" si="5"/>
        <v>4732.808</v>
      </c>
      <c r="C136" s="5">
        <v>97933.392356425305</v>
      </c>
      <c r="D136" s="63">
        <f t="shared" si="4"/>
        <v>4.832680545543754E-5</v>
      </c>
    </row>
    <row r="137" spans="1:4" x14ac:dyDescent="0.25">
      <c r="A137" s="10">
        <v>2003</v>
      </c>
      <c r="B137" s="3">
        <f t="shared" si="5"/>
        <v>5663.1210000000001</v>
      </c>
      <c r="C137" s="5">
        <v>94684.582573316715</v>
      </c>
      <c r="D137" s="63">
        <f t="shared" si="4"/>
        <v>5.9810381437916773E-5</v>
      </c>
    </row>
    <row r="138" spans="1:4" x14ac:dyDescent="0.25">
      <c r="A138" s="10">
        <v>2004</v>
      </c>
      <c r="B138" s="3">
        <f t="shared" si="5"/>
        <v>4389.7089999999998</v>
      </c>
      <c r="C138" s="5">
        <v>117074.86551527939</v>
      </c>
      <c r="D138" s="63">
        <f t="shared" si="4"/>
        <v>3.7494888255302764E-5</v>
      </c>
    </row>
    <row r="139" spans="1:4" x14ac:dyDescent="0.25">
      <c r="A139" s="10">
        <v>2005</v>
      </c>
      <c r="B139" s="3">
        <f t="shared" si="5"/>
        <v>7225.616</v>
      </c>
      <c r="C139" s="5">
        <v>146566.26631057015</v>
      </c>
      <c r="D139" s="63">
        <f t="shared" si="4"/>
        <v>4.9299311375573319E-5</v>
      </c>
    </row>
    <row r="140" spans="1:4" x14ac:dyDescent="0.25">
      <c r="A140" s="10">
        <v>2006</v>
      </c>
      <c r="B140" s="3">
        <f t="shared" si="5"/>
        <v>5723.2109999999993</v>
      </c>
      <c r="C140" s="5">
        <v>162590.1460964143</v>
      </c>
      <c r="D140" s="63">
        <f t="shared" si="4"/>
        <v>3.5200232839487046E-5</v>
      </c>
    </row>
    <row r="141" spans="1:4" x14ac:dyDescent="0.25">
      <c r="A141" s="10">
        <v>2007</v>
      </c>
      <c r="B141" s="3">
        <f t="shared" si="5"/>
        <v>6859.4070000000002</v>
      </c>
      <c r="C141" s="5">
        <v>207416.49464237894</v>
      </c>
      <c r="D141" s="63">
        <f t="shared" si="4"/>
        <v>3.3070691951605762E-5</v>
      </c>
    </row>
    <row r="142" spans="1:4" x14ac:dyDescent="0.25">
      <c r="A142" s="10">
        <v>2008</v>
      </c>
      <c r="B142" s="3">
        <f t="shared" si="5"/>
        <v>6625.7110000000002</v>
      </c>
      <c r="C142" s="5">
        <v>243982.43787084011</v>
      </c>
      <c r="D142" s="63">
        <f t="shared" si="4"/>
        <v>2.7156507893849033E-5</v>
      </c>
    </row>
    <row r="143" spans="1:4" x14ac:dyDescent="0.25">
      <c r="A143" s="10">
        <v>2009</v>
      </c>
      <c r="B143" s="3">
        <f t="shared" si="5"/>
        <v>6371.5590000000002</v>
      </c>
      <c r="C143" s="5">
        <v>233821.6705442575</v>
      </c>
      <c r="D143" s="63">
        <f t="shared" si="4"/>
        <v>2.7249651348265423E-5</v>
      </c>
    </row>
    <row r="144" spans="1:4" x14ac:dyDescent="0.25">
      <c r="A144" s="10">
        <v>2010</v>
      </c>
      <c r="B144" s="3">
        <f t="shared" si="5"/>
        <v>2417.3989999999999</v>
      </c>
      <c r="C144" s="5">
        <v>287018.18463752925</v>
      </c>
      <c r="D144" s="63">
        <f t="shared" si="4"/>
        <v>8.4224593750144952E-6</v>
      </c>
    </row>
    <row r="145" spans="1:10" x14ac:dyDescent="0.25">
      <c r="A145" s="10">
        <v>2011</v>
      </c>
      <c r="B145" s="3">
        <f t="shared" si="5"/>
        <v>2584.27</v>
      </c>
      <c r="C145" s="5">
        <v>335415.15670218616</v>
      </c>
      <c r="D145" s="63">
        <f t="shared" si="4"/>
        <v>7.7046905852694176E-6</v>
      </c>
    </row>
    <row r="146" spans="1:10" x14ac:dyDescent="0.25">
      <c r="A146" s="10">
        <v>2012</v>
      </c>
      <c r="B146" s="3">
        <f t="shared" si="5"/>
        <v>2790.105</v>
      </c>
      <c r="C146" s="5">
        <v>369659.70037551981</v>
      </c>
      <c r="D146" s="63">
        <f t="shared" si="4"/>
        <v>7.5477662216510593E-6</v>
      </c>
    </row>
    <row r="147" spans="1:10" x14ac:dyDescent="0.25">
      <c r="A147" s="10">
        <v>2013</v>
      </c>
      <c r="B147" s="3">
        <f t="shared" si="5"/>
        <v>3056.1419999999998</v>
      </c>
      <c r="C147" s="5">
        <v>380191.88186037214</v>
      </c>
      <c r="D147" s="63">
        <f t="shared" si="4"/>
        <v>8.0384199290251736E-6</v>
      </c>
    </row>
    <row r="148" spans="1:10" x14ac:dyDescent="0.25">
      <c r="A148" s="10">
        <v>2014</v>
      </c>
      <c r="B148" s="3">
        <f t="shared" si="5"/>
        <v>2954.5349999999999</v>
      </c>
      <c r="C148" s="5">
        <v>378416.02053371473</v>
      </c>
      <c r="D148" s="63">
        <f t="shared" si="4"/>
        <v>7.80763720265582E-6</v>
      </c>
    </row>
    <row r="149" spans="1:10" x14ac:dyDescent="0.25">
      <c r="A149" s="11">
        <v>2015</v>
      </c>
      <c r="B149" s="3">
        <f t="shared" si="5"/>
        <v>2854.0149999999999</v>
      </c>
      <c r="C149" s="6">
        <v>292080.15563330991</v>
      </c>
      <c r="D149" s="63">
        <f t="shared" si="4"/>
        <v>9.7713416846540373E-6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60" x14ac:dyDescent="0.25">
      <c r="A153" s="12" t="s">
        <v>3</v>
      </c>
      <c r="B153" s="13" t="s">
        <v>126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3">
        <f>B125</f>
        <v>2540.4969999999998</v>
      </c>
      <c r="C154" s="5">
        <v>6174.0429999999997</v>
      </c>
      <c r="D154" s="64">
        <f t="shared" ref="D154:D178" si="6">(B154/C154)/1000000000</f>
        <v>4.1148028933390972E-10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3">
        <v>778.54281600000002</v>
      </c>
      <c r="C155" s="5">
        <v>6539.299</v>
      </c>
      <c r="D155" s="64">
        <f t="shared" si="6"/>
        <v>1.19056005238482E-10</v>
      </c>
    </row>
    <row r="156" spans="1:10" x14ac:dyDescent="0.25">
      <c r="A156" s="10">
        <v>1993</v>
      </c>
      <c r="B156" s="3">
        <v>726.94601599999999</v>
      </c>
      <c r="C156" s="5">
        <v>6878.7179999999998</v>
      </c>
      <c r="D156" s="64">
        <f t="shared" si="6"/>
        <v>1.05680450339729E-10</v>
      </c>
    </row>
    <row r="157" spans="1:10" x14ac:dyDescent="0.25">
      <c r="A157" s="10">
        <v>1994</v>
      </c>
      <c r="B157" s="3">
        <v>990.27204799999993</v>
      </c>
      <c r="C157" s="5">
        <v>7308.7550000000001</v>
      </c>
      <c r="D157" s="64">
        <f t="shared" si="6"/>
        <v>1.3549120855740821E-10</v>
      </c>
    </row>
    <row r="158" spans="1:10" x14ac:dyDescent="0.25">
      <c r="A158" s="10">
        <v>1995</v>
      </c>
      <c r="B158" s="3">
        <v>1124.3610880000001</v>
      </c>
      <c r="C158" s="5">
        <v>7664.06</v>
      </c>
      <c r="D158" s="64">
        <f t="shared" si="6"/>
        <v>1.4670567401612201E-10</v>
      </c>
    </row>
    <row r="159" spans="1:10" x14ac:dyDescent="0.25">
      <c r="A159" s="10">
        <v>1996</v>
      </c>
      <c r="B159" s="3">
        <v>1264.539008</v>
      </c>
      <c r="C159" s="5">
        <v>8100.201</v>
      </c>
      <c r="D159" s="64">
        <f t="shared" si="6"/>
        <v>1.5611205302189416E-10</v>
      </c>
    </row>
    <row r="160" spans="1:10" x14ac:dyDescent="0.25">
      <c r="A160" s="10">
        <v>1997</v>
      </c>
      <c r="B160" s="3">
        <v>1477.9654399999999</v>
      </c>
      <c r="C160" s="5">
        <v>8608.5149999999994</v>
      </c>
      <c r="D160" s="64">
        <f t="shared" si="6"/>
        <v>1.7168645695570026E-10</v>
      </c>
    </row>
    <row r="161" spans="1:4" x14ac:dyDescent="0.25">
      <c r="A161" s="10">
        <v>1998</v>
      </c>
      <c r="B161" s="3">
        <v>1348.7868799999999</v>
      </c>
      <c r="C161" s="5">
        <v>9089.1679999999997</v>
      </c>
      <c r="D161" s="64">
        <f t="shared" si="6"/>
        <v>1.483949774060728E-10</v>
      </c>
    </row>
    <row r="162" spans="1:4" x14ac:dyDescent="0.25">
      <c r="A162" s="10">
        <v>1999</v>
      </c>
      <c r="B162" s="3">
        <v>1193.2297920000001</v>
      </c>
      <c r="C162" s="5">
        <v>9660.6239999999998</v>
      </c>
      <c r="D162" s="64">
        <f t="shared" si="6"/>
        <v>1.2351477420092119E-10</v>
      </c>
    </row>
    <row r="163" spans="1:4" x14ac:dyDescent="0.25">
      <c r="A163" s="10">
        <v>2000</v>
      </c>
      <c r="B163" s="3">
        <v>1071.982888</v>
      </c>
      <c r="C163" s="5">
        <v>10284.779</v>
      </c>
      <c r="D163" s="64">
        <f t="shared" si="6"/>
        <v>1.0423003625065739E-10</v>
      </c>
    </row>
    <row r="164" spans="1:4" x14ac:dyDescent="0.25">
      <c r="A164" s="10">
        <v>2001</v>
      </c>
      <c r="B164" s="3">
        <v>940.04740700000002</v>
      </c>
      <c r="C164" s="5">
        <v>10621.824000000001</v>
      </c>
      <c r="D164" s="64">
        <f t="shared" si="6"/>
        <v>8.8501504732143939E-11</v>
      </c>
    </row>
    <row r="165" spans="1:4" x14ac:dyDescent="0.25">
      <c r="A165" s="10">
        <v>2002</v>
      </c>
      <c r="B165" s="3">
        <v>1018.38838</v>
      </c>
      <c r="C165" s="5">
        <v>10977.513999999999</v>
      </c>
      <c r="D165" s="64">
        <f t="shared" si="6"/>
        <v>9.277040138596043E-11</v>
      </c>
    </row>
    <row r="166" spans="1:4" x14ac:dyDescent="0.25">
      <c r="A166" s="10">
        <v>2003</v>
      </c>
      <c r="B166" s="3">
        <v>1038.2639630000001</v>
      </c>
      <c r="C166" s="5">
        <v>11510.67</v>
      </c>
      <c r="D166" s="64">
        <f t="shared" si="6"/>
        <v>9.0200132833275571E-11</v>
      </c>
    </row>
    <row r="167" spans="1:4" x14ac:dyDescent="0.25">
      <c r="A167" s="10">
        <v>2004</v>
      </c>
      <c r="B167" s="3">
        <v>1217.3023229999999</v>
      </c>
      <c r="C167" s="5">
        <v>12274.928</v>
      </c>
      <c r="D167" s="64">
        <f t="shared" si="6"/>
        <v>9.9169813704813581E-11</v>
      </c>
    </row>
    <row r="168" spans="1:4" x14ac:dyDescent="0.25">
      <c r="A168" s="10">
        <v>2005</v>
      </c>
      <c r="B168" s="3">
        <v>1536.0551889999999</v>
      </c>
      <c r="C168" s="5">
        <v>13093.726000000001</v>
      </c>
      <c r="D168" s="64">
        <f t="shared" si="6"/>
        <v>1.1731230583257966E-10</v>
      </c>
    </row>
    <row r="169" spans="1:4" x14ac:dyDescent="0.25">
      <c r="A169" s="10">
        <v>2006</v>
      </c>
      <c r="B169" s="3">
        <v>1674.9357299999999</v>
      </c>
      <c r="C169" s="5">
        <v>13855.888000000001</v>
      </c>
      <c r="D169" s="64">
        <f t="shared" si="6"/>
        <v>1.2088259734778457E-10</v>
      </c>
    </row>
    <row r="170" spans="1:4" x14ac:dyDescent="0.25">
      <c r="A170" s="10">
        <v>2007</v>
      </c>
      <c r="B170" s="3">
        <v>2090.388798</v>
      </c>
      <c r="C170" s="5">
        <v>14477.635</v>
      </c>
      <c r="D170" s="64">
        <f t="shared" si="6"/>
        <v>1.4438744988390713E-10</v>
      </c>
    </row>
    <row r="171" spans="1:4" x14ac:dyDescent="0.25">
      <c r="A171" s="10">
        <v>2008</v>
      </c>
      <c r="B171" s="3">
        <v>2658.591101</v>
      </c>
      <c r="C171" s="5">
        <v>14718.582</v>
      </c>
      <c r="D171" s="64">
        <f t="shared" si="6"/>
        <v>1.8062820868205917E-10</v>
      </c>
    </row>
    <row r="172" spans="1:4" x14ac:dyDescent="0.25">
      <c r="A172" s="10">
        <v>2009</v>
      </c>
      <c r="B172" s="3">
        <v>1909.450292</v>
      </c>
      <c r="C172" s="5">
        <v>14418.739</v>
      </c>
      <c r="D172" s="64">
        <f t="shared" si="6"/>
        <v>1.3242838309230786E-10</v>
      </c>
    </row>
    <row r="173" spans="1:4" x14ac:dyDescent="0.25">
      <c r="A173" s="10">
        <v>2010</v>
      </c>
      <c r="B173" s="3">
        <v>1915.172262</v>
      </c>
      <c r="C173" s="5">
        <v>14964.371999999999</v>
      </c>
      <c r="D173" s="64">
        <f t="shared" si="6"/>
        <v>1.279821339645927E-10</v>
      </c>
    </row>
    <row r="174" spans="1:4" x14ac:dyDescent="0.25">
      <c r="A174" s="10">
        <v>2011</v>
      </c>
      <c r="B174" s="3">
        <v>2470.6055799999999</v>
      </c>
      <c r="C174" s="5">
        <v>15517.925999999999</v>
      </c>
      <c r="D174" s="64">
        <f t="shared" si="6"/>
        <v>1.592097797089637E-10</v>
      </c>
    </row>
    <row r="175" spans="1:4" x14ac:dyDescent="0.25">
      <c r="A175" s="10">
        <v>2012</v>
      </c>
      <c r="B175" s="3">
        <v>2247.7525559999999</v>
      </c>
      <c r="C175" s="5">
        <v>16155.254999999999</v>
      </c>
      <c r="D175" s="64">
        <f t="shared" si="6"/>
        <v>1.3913445228812544E-10</v>
      </c>
    </row>
    <row r="176" spans="1:4" x14ac:dyDescent="0.25">
      <c r="A176" s="10">
        <v>2013</v>
      </c>
      <c r="B176" s="3">
        <v>2647.175538</v>
      </c>
      <c r="C176" s="5">
        <v>16663.16</v>
      </c>
      <c r="D176" s="64">
        <f t="shared" si="6"/>
        <v>1.5886395725660679E-10</v>
      </c>
    </row>
    <row r="177" spans="1:10" x14ac:dyDescent="0.25">
      <c r="A177" s="10">
        <v>2014</v>
      </c>
      <c r="B177" s="3">
        <v>3818.3010549999999</v>
      </c>
      <c r="C177" s="5">
        <v>17348.071499999998</v>
      </c>
      <c r="D177" s="64">
        <f t="shared" si="6"/>
        <v>2.2009945341763207E-10</v>
      </c>
    </row>
    <row r="178" spans="1:10" x14ac:dyDescent="0.25">
      <c r="A178" s="11">
        <v>2015</v>
      </c>
      <c r="B178" s="3">
        <v>3872.0835889999998</v>
      </c>
      <c r="C178" s="5">
        <v>17946.995999999999</v>
      </c>
      <c r="D178" s="65">
        <f t="shared" si="6"/>
        <v>2.1575106992836015E-10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90" x14ac:dyDescent="0.25">
      <c r="A183" s="12" t="s">
        <v>3</v>
      </c>
      <c r="B183" s="13" t="s">
        <v>53</v>
      </c>
      <c r="C183" s="13" t="s">
        <v>59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3">
        <v>721.07736799999998</v>
      </c>
      <c r="C184" s="3">
        <f>Tabla1161926[[#This Row],[Balanza Comercial Absoluta Colombia 
(Precio CIF, US$ millones)]]/2</f>
        <v>360.53868399999999</v>
      </c>
      <c r="D184" s="5">
        <v>41239.551378248201</v>
      </c>
      <c r="E184" s="8">
        <f t="shared" ref="E184:E208" si="7">C184/D184</f>
        <v>8.7425462196023332E-3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3">
        <v>778.54281600000002</v>
      </c>
      <c r="C185" s="3">
        <f>Tabla1161926[[#This Row],[Balanza Comercial Absoluta Colombia 
(Precio CIF, US$ millones)]]/2</f>
        <v>389.27140800000001</v>
      </c>
      <c r="D185" s="5">
        <v>49279.585355094838</v>
      </c>
      <c r="E185" s="8">
        <f t="shared" si="7"/>
        <v>7.8992427634084102E-3</v>
      </c>
    </row>
    <row r="186" spans="1:10" x14ac:dyDescent="0.25">
      <c r="A186" s="10">
        <v>1993</v>
      </c>
      <c r="B186" s="3">
        <v>726.94601599999999</v>
      </c>
      <c r="C186" s="3">
        <f>Tabla1161926[[#This Row],[Balanza Comercial Absoluta Colombia 
(Precio CIF, US$ millones)]]/2</f>
        <v>363.47300799999999</v>
      </c>
      <c r="D186" s="5">
        <v>55802.540100979531</v>
      </c>
      <c r="E186" s="8">
        <f t="shared" si="7"/>
        <v>6.5135566829442543E-3</v>
      </c>
    </row>
    <row r="187" spans="1:10" x14ac:dyDescent="0.25">
      <c r="A187" s="10">
        <v>1994</v>
      </c>
      <c r="B187" s="3">
        <v>990.27204799999993</v>
      </c>
      <c r="C187" s="3">
        <f>Tabla1161926[[#This Row],[Balanza Comercial Absoluta Colombia 
(Precio CIF, US$ millones)]]/2</f>
        <v>495.13602399999996</v>
      </c>
      <c r="D187" s="5">
        <v>81703.496603993364</v>
      </c>
      <c r="E187" s="8">
        <f t="shared" si="7"/>
        <v>6.0601570872769669E-3</v>
      </c>
    </row>
    <row r="188" spans="1:10" x14ac:dyDescent="0.25">
      <c r="A188" s="10">
        <v>1995</v>
      </c>
      <c r="B188" s="3">
        <v>1124.3610880000001</v>
      </c>
      <c r="C188" s="3">
        <f>Tabla1161926[[#This Row],[Balanza Comercial Absoluta Colombia 
(Precio CIF, US$ millones)]]/2</f>
        <v>562.18054400000005</v>
      </c>
      <c r="D188" s="5">
        <v>92507.277798198498</v>
      </c>
      <c r="E188" s="8">
        <f t="shared" si="7"/>
        <v>6.0771493592793628E-3</v>
      </c>
    </row>
    <row r="189" spans="1:10" x14ac:dyDescent="0.25">
      <c r="A189" s="10">
        <v>1996</v>
      </c>
      <c r="B189" s="3">
        <v>1264.539008</v>
      </c>
      <c r="C189" s="3">
        <f>Tabla1161926[[#This Row],[Balanza Comercial Absoluta Colombia 
(Precio CIF, US$ millones)]]/2</f>
        <v>632.26950399999998</v>
      </c>
      <c r="D189" s="5">
        <v>97160.111573336981</v>
      </c>
      <c r="E189" s="8">
        <f t="shared" si="7"/>
        <v>6.5075008021451223E-3</v>
      </c>
    </row>
    <row r="190" spans="1:10" x14ac:dyDescent="0.25">
      <c r="A190" s="10">
        <v>1997</v>
      </c>
      <c r="B190" s="3">
        <v>1477.9654399999999</v>
      </c>
      <c r="C190" s="3">
        <f>Tabla1161926[[#This Row],[Balanza Comercial Absoluta Colombia 
(Precio CIF, US$ millones)]]/2</f>
        <v>738.98271999999997</v>
      </c>
      <c r="D190" s="5">
        <v>106659.5079635281</v>
      </c>
      <c r="E190" s="8">
        <f t="shared" si="7"/>
        <v>6.9284279864922395E-3</v>
      </c>
    </row>
    <row r="191" spans="1:10" x14ac:dyDescent="0.25">
      <c r="A191" s="10">
        <v>1998</v>
      </c>
      <c r="B191" s="3">
        <v>1348.7868799999999</v>
      </c>
      <c r="C191" s="3">
        <f>Tabla1161926[[#This Row],[Balanza Comercial Absoluta Colombia 
(Precio CIF, US$ millones)]]/2</f>
        <v>674.39343999999994</v>
      </c>
      <c r="D191" s="5">
        <v>98443.743190849113</v>
      </c>
      <c r="E191" s="8">
        <f t="shared" si="7"/>
        <v>6.8505464963129169E-3</v>
      </c>
    </row>
    <row r="192" spans="1:10" x14ac:dyDescent="0.25">
      <c r="A192" s="10">
        <v>1999</v>
      </c>
      <c r="B192" s="3">
        <v>1193.2297920000001</v>
      </c>
      <c r="C192" s="3">
        <f>Tabla1161926[[#This Row],[Balanza Comercial Absoluta Colombia 
(Precio CIF, US$ millones)]]/2</f>
        <v>596.61489600000004</v>
      </c>
      <c r="D192" s="5">
        <v>86186.156584381664</v>
      </c>
      <c r="E192" s="8">
        <f t="shared" si="7"/>
        <v>6.9223982092283757E-3</v>
      </c>
    </row>
    <row r="193" spans="1:5" x14ac:dyDescent="0.25">
      <c r="A193" s="10">
        <v>2000</v>
      </c>
      <c r="B193" s="3">
        <v>1071.982888</v>
      </c>
      <c r="C193" s="3">
        <f>Tabla1161926[[#This Row],[Balanza Comercial Absoluta Colombia 
(Precio CIF, US$ millones)]]/2</f>
        <v>535.991444</v>
      </c>
      <c r="D193" s="5">
        <v>99886.577575544405</v>
      </c>
      <c r="E193" s="8">
        <f t="shared" si="7"/>
        <v>5.3660006880767207E-3</v>
      </c>
    </row>
    <row r="194" spans="1:5" x14ac:dyDescent="0.25">
      <c r="A194" s="10">
        <v>2001</v>
      </c>
      <c r="B194" s="3">
        <v>940.04740700000002</v>
      </c>
      <c r="C194" s="3">
        <f>Tabla1161926[[#This Row],[Balanza Comercial Absoluta Colombia 
(Precio CIF, US$ millones)]]/2</f>
        <v>470.02370350000001</v>
      </c>
      <c r="D194" s="5">
        <v>98203.544965267793</v>
      </c>
      <c r="E194" s="8">
        <f t="shared" si="7"/>
        <v>4.7862193128184521E-3</v>
      </c>
    </row>
    <row r="195" spans="1:5" x14ac:dyDescent="0.25">
      <c r="A195" s="10">
        <v>2002</v>
      </c>
      <c r="B195" s="3">
        <v>1018.38838</v>
      </c>
      <c r="C195" s="3">
        <f>Tabla1161926[[#This Row],[Balanza Comercial Absoluta Colombia 
(Precio CIF, US$ millones)]]/2</f>
        <v>509.19418999999999</v>
      </c>
      <c r="D195" s="5">
        <v>97933.392356425305</v>
      </c>
      <c r="E195" s="8">
        <f t="shared" si="7"/>
        <v>5.1993929521690083E-3</v>
      </c>
    </row>
    <row r="196" spans="1:5" x14ac:dyDescent="0.25">
      <c r="A196" s="10">
        <v>2003</v>
      </c>
      <c r="B196" s="3">
        <v>1038.2639630000001</v>
      </c>
      <c r="C196" s="3">
        <f>Tabla1161926[[#This Row],[Balanza Comercial Absoluta Colombia 
(Precio CIF, US$ millones)]]/2</f>
        <v>519.13198150000005</v>
      </c>
      <c r="D196" s="5">
        <v>94684.582573316715</v>
      </c>
      <c r="E196" s="8">
        <f t="shared" si="7"/>
        <v>5.482750912462679E-3</v>
      </c>
    </row>
    <row r="197" spans="1:5" x14ac:dyDescent="0.25">
      <c r="A197" s="10">
        <v>2004</v>
      </c>
      <c r="B197" s="3">
        <v>1217.3023229999999</v>
      </c>
      <c r="C197" s="3">
        <f>Tabla1161926[[#This Row],[Balanza Comercial Absoluta Colombia 
(Precio CIF, US$ millones)]]/2</f>
        <v>608.65116149999994</v>
      </c>
      <c r="D197" s="5">
        <v>117074.86551527939</v>
      </c>
      <c r="E197" s="8">
        <f t="shared" si="7"/>
        <v>5.1988200782563795E-3</v>
      </c>
    </row>
    <row r="198" spans="1:5" x14ac:dyDescent="0.25">
      <c r="A198" s="10">
        <v>2005</v>
      </c>
      <c r="B198" s="3">
        <v>1536.0551889999999</v>
      </c>
      <c r="C198" s="3">
        <f>Tabla1161926[[#This Row],[Balanza Comercial Absoluta Colombia 
(Precio CIF, US$ millones)]]/2</f>
        <v>768.02759449999996</v>
      </c>
      <c r="D198" s="5">
        <v>146566.26631057015</v>
      </c>
      <c r="E198" s="8">
        <f t="shared" si="7"/>
        <v>5.2401389066742635E-3</v>
      </c>
    </row>
    <row r="199" spans="1:5" x14ac:dyDescent="0.25">
      <c r="A199" s="10">
        <v>2006</v>
      </c>
      <c r="B199" s="3">
        <v>1674.9357299999999</v>
      </c>
      <c r="C199" s="3">
        <f>Tabla1161926[[#This Row],[Balanza Comercial Absoluta Colombia 
(Precio CIF, US$ millones)]]/2</f>
        <v>837.46786499999996</v>
      </c>
      <c r="D199" s="5">
        <v>162590.1460964143</v>
      </c>
      <c r="E199" s="8">
        <f t="shared" si="7"/>
        <v>5.1507910233587586E-3</v>
      </c>
    </row>
    <row r="200" spans="1:5" x14ac:dyDescent="0.25">
      <c r="A200" s="10">
        <v>2007</v>
      </c>
      <c r="B200" s="3">
        <v>2090.388798</v>
      </c>
      <c r="C200" s="3">
        <f>Tabla1161926[[#This Row],[Balanza Comercial Absoluta Colombia 
(Precio CIF, US$ millones)]]/2</f>
        <v>1045.194399</v>
      </c>
      <c r="D200" s="5">
        <v>207416.49464237894</v>
      </c>
      <c r="E200" s="8">
        <f t="shared" si="7"/>
        <v>5.0391093572480419E-3</v>
      </c>
    </row>
    <row r="201" spans="1:5" x14ac:dyDescent="0.25">
      <c r="A201" s="10">
        <v>2008</v>
      </c>
      <c r="B201" s="3">
        <v>2658.591101</v>
      </c>
      <c r="C201" s="3">
        <f>Tabla1161926[[#This Row],[Balanza Comercial Absoluta Colombia 
(Precio CIF, US$ millones)]]/2</f>
        <v>1329.2955505</v>
      </c>
      <c r="D201" s="5">
        <v>243982.43787084011</v>
      </c>
      <c r="E201" s="8">
        <f t="shared" si="7"/>
        <v>5.4483247323059581E-3</v>
      </c>
    </row>
    <row r="202" spans="1:5" x14ac:dyDescent="0.25">
      <c r="A202" s="10">
        <v>2009</v>
      </c>
      <c r="B202" s="3">
        <v>1909.450292</v>
      </c>
      <c r="C202" s="3">
        <f>Tabla1161926[[#This Row],[Balanza Comercial Absoluta Colombia 
(Precio CIF, US$ millones)]]/2</f>
        <v>954.725146</v>
      </c>
      <c r="D202" s="5">
        <v>233821.6705442575</v>
      </c>
      <c r="E202" s="8">
        <f t="shared" si="7"/>
        <v>4.0831337137303136E-3</v>
      </c>
    </row>
    <row r="203" spans="1:5" x14ac:dyDescent="0.25">
      <c r="A203" s="10">
        <v>2010</v>
      </c>
      <c r="B203" s="3">
        <v>1915.172262</v>
      </c>
      <c r="C203" s="3">
        <f>Tabla1161926[[#This Row],[Balanza Comercial Absoluta Colombia 
(Precio CIF, US$ millones)]]/2</f>
        <v>957.58613100000002</v>
      </c>
      <c r="D203" s="5">
        <v>287018.18463752925</v>
      </c>
      <c r="E203" s="8">
        <f t="shared" si="7"/>
        <v>3.3363256485275331E-3</v>
      </c>
    </row>
    <row r="204" spans="1:5" x14ac:dyDescent="0.25">
      <c r="A204" s="10">
        <v>2011</v>
      </c>
      <c r="B204" s="3">
        <v>2470.6055799999999</v>
      </c>
      <c r="C204" s="3">
        <f>Tabla1161926[[#This Row],[Balanza Comercial Absoluta Colombia 
(Precio CIF, US$ millones)]]/2</f>
        <v>1235.30279</v>
      </c>
      <c r="D204" s="5">
        <v>335415.15670218616</v>
      </c>
      <c r="E204" s="8">
        <f t="shared" si="7"/>
        <v>3.682906885143597E-3</v>
      </c>
    </row>
    <row r="205" spans="1:5" x14ac:dyDescent="0.25">
      <c r="A205" s="10">
        <v>2012</v>
      </c>
      <c r="B205" s="3">
        <v>2247.7525559999999</v>
      </c>
      <c r="C205" s="3">
        <f>Tabla1161926[[#This Row],[Balanza Comercial Absoluta Colombia 
(Precio CIF, US$ millones)]]/2</f>
        <v>1123.876278</v>
      </c>
      <c r="D205" s="5">
        <v>369659.70037551981</v>
      </c>
      <c r="E205" s="8">
        <f t="shared" si="7"/>
        <v>3.0402997049943695E-3</v>
      </c>
    </row>
    <row r="206" spans="1:5" x14ac:dyDescent="0.25">
      <c r="A206" s="10">
        <v>2013</v>
      </c>
      <c r="B206" s="3">
        <v>2647.175538</v>
      </c>
      <c r="C206" s="3">
        <f>Tabla1161926[[#This Row],[Balanza Comercial Absoluta Colombia 
(Precio CIF, US$ millones)]]/2</f>
        <v>1323.587769</v>
      </c>
      <c r="D206" s="5">
        <v>380191.88186037214</v>
      </c>
      <c r="E206" s="8">
        <f t="shared" si="7"/>
        <v>3.4813677833502397E-3</v>
      </c>
    </row>
    <row r="207" spans="1:5" x14ac:dyDescent="0.25">
      <c r="A207" s="10">
        <v>2014</v>
      </c>
      <c r="B207" s="3">
        <v>3818.3010549999999</v>
      </c>
      <c r="C207" s="3">
        <f>Tabla1161926[[#This Row],[Balanza Comercial Absoluta Colombia 
(Precio CIF, US$ millones)]]/2</f>
        <v>1909.1505275</v>
      </c>
      <c r="D207" s="5">
        <v>378416.02053371473</v>
      </c>
      <c r="E207" s="8">
        <f t="shared" si="7"/>
        <v>5.0451102065059254E-3</v>
      </c>
    </row>
    <row r="208" spans="1:5" x14ac:dyDescent="0.25">
      <c r="A208" s="11">
        <v>2015</v>
      </c>
      <c r="B208" s="3">
        <v>3872.0835889999998</v>
      </c>
      <c r="C208" s="4">
        <f>Tabla1161926[[#This Row],[Balanza Comercial Absoluta Colombia 
(Precio CIF, US$ millones)]]/2</f>
        <v>1936.0417944999999</v>
      </c>
      <c r="D208" s="6">
        <v>292080.15563330991</v>
      </c>
      <c r="E208" s="9">
        <f t="shared" si="7"/>
        <v>6.6284605686481165E-3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75" x14ac:dyDescent="0.25">
      <c r="A212" s="28" t="s">
        <v>3</v>
      </c>
      <c r="B212" s="29" t="s">
        <v>56</v>
      </c>
      <c r="C212" s="29" t="s">
        <v>60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3">
        <v>721.07736799999998</v>
      </c>
      <c r="C213" s="3">
        <v>360.53868399999999</v>
      </c>
      <c r="D213" s="5">
        <v>6174.0429999999997</v>
      </c>
      <c r="E213" s="43">
        <f t="shared" ref="E213:E237" si="8">(C213/D213)/100000</f>
        <v>5.8395881596548652E-7</v>
      </c>
    </row>
    <row r="214" spans="1:10" x14ac:dyDescent="0.25">
      <c r="A214" s="31">
        <v>1992</v>
      </c>
      <c r="B214" s="3">
        <v>778.54281600000002</v>
      </c>
      <c r="C214" s="3">
        <v>389.27140800000001</v>
      </c>
      <c r="D214" s="5">
        <v>6539.299</v>
      </c>
      <c r="E214" s="43">
        <f t="shared" si="8"/>
        <v>5.9528002619241E-7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3">
        <v>726.94601599999999</v>
      </c>
      <c r="C215" s="3">
        <v>363.47300799999999</v>
      </c>
      <c r="D215" s="5">
        <v>6878.7179999999998</v>
      </c>
      <c r="E215" s="43">
        <f t="shared" si="8"/>
        <v>5.2840225169864506E-7</v>
      </c>
    </row>
    <row r="216" spans="1:10" x14ac:dyDescent="0.25">
      <c r="A216" s="31">
        <v>1994</v>
      </c>
      <c r="B216" s="3">
        <v>990.27204799999993</v>
      </c>
      <c r="C216" s="3">
        <v>495.13602399999996</v>
      </c>
      <c r="D216" s="5">
        <v>7308.7550000000001</v>
      </c>
      <c r="E216" s="43">
        <f t="shared" si="8"/>
        <v>6.7745604278704107E-7</v>
      </c>
    </row>
    <row r="217" spans="1:10" x14ac:dyDescent="0.25">
      <c r="A217" s="31">
        <v>1995</v>
      </c>
      <c r="B217" s="3">
        <v>1124.3610880000001</v>
      </c>
      <c r="C217" s="3">
        <v>562.18054400000005</v>
      </c>
      <c r="D217" s="5">
        <v>7664.06</v>
      </c>
      <c r="E217" s="43">
        <f t="shared" si="8"/>
        <v>7.3352837008061006E-7</v>
      </c>
    </row>
    <row r="218" spans="1:10" x14ac:dyDescent="0.25">
      <c r="A218" s="31">
        <v>1996</v>
      </c>
      <c r="B218" s="3">
        <v>1264.539008</v>
      </c>
      <c r="C218" s="3">
        <v>632.26950399999998</v>
      </c>
      <c r="D218" s="5">
        <v>8100.201</v>
      </c>
      <c r="E218" s="43">
        <f t="shared" si="8"/>
        <v>7.8056026510947081E-7</v>
      </c>
    </row>
    <row r="219" spans="1:10" x14ac:dyDescent="0.25">
      <c r="A219" s="31">
        <v>1997</v>
      </c>
      <c r="B219" s="3">
        <v>1477.9654399999999</v>
      </c>
      <c r="C219" s="3">
        <v>738.98271999999997</v>
      </c>
      <c r="D219" s="5">
        <v>8608.5149999999994</v>
      </c>
      <c r="E219" s="43">
        <f t="shared" si="8"/>
        <v>8.5843228477850133E-7</v>
      </c>
    </row>
    <row r="220" spans="1:10" x14ac:dyDescent="0.25">
      <c r="A220" s="31">
        <v>1998</v>
      </c>
      <c r="B220" s="3">
        <v>1348.7868799999999</v>
      </c>
      <c r="C220" s="3">
        <v>674.39343999999994</v>
      </c>
      <c r="D220" s="5">
        <v>9089.1679999999997</v>
      </c>
      <c r="E220" s="43">
        <f t="shared" si="8"/>
        <v>7.4197488703036403E-7</v>
      </c>
    </row>
    <row r="221" spans="1:10" x14ac:dyDescent="0.25">
      <c r="A221" s="31">
        <v>1999</v>
      </c>
      <c r="B221" s="3">
        <v>1193.2297920000001</v>
      </c>
      <c r="C221" s="3">
        <v>596.61489600000004</v>
      </c>
      <c r="D221" s="5">
        <v>9660.6239999999998</v>
      </c>
      <c r="E221" s="43">
        <f t="shared" si="8"/>
        <v>6.1757387100460596E-7</v>
      </c>
    </row>
    <row r="222" spans="1:10" x14ac:dyDescent="0.25">
      <c r="A222" s="31">
        <v>2000</v>
      </c>
      <c r="B222" s="3">
        <v>1071.982888</v>
      </c>
      <c r="C222" s="3">
        <v>535.991444</v>
      </c>
      <c r="D222" s="5">
        <v>10284.779</v>
      </c>
      <c r="E222" s="43">
        <f t="shared" si="8"/>
        <v>5.2115018125328699E-7</v>
      </c>
    </row>
    <row r="223" spans="1:10" x14ac:dyDescent="0.25">
      <c r="A223" s="31">
        <v>2001</v>
      </c>
      <c r="B223" s="3">
        <v>940.04740700000002</v>
      </c>
      <c r="C223" s="3">
        <v>470.02370350000001</v>
      </c>
      <c r="D223" s="5">
        <v>10621.824000000001</v>
      </c>
      <c r="E223" s="43">
        <f t="shared" si="8"/>
        <v>4.4250752366071971E-7</v>
      </c>
    </row>
    <row r="224" spans="1:10" x14ac:dyDescent="0.25">
      <c r="A224" s="31">
        <v>2002</v>
      </c>
      <c r="B224" s="3">
        <v>1018.38838</v>
      </c>
      <c r="C224" s="3">
        <v>509.19418999999999</v>
      </c>
      <c r="D224" s="5">
        <v>10977.513999999999</v>
      </c>
      <c r="E224" s="43">
        <f t="shared" si="8"/>
        <v>4.6385200692980219E-7</v>
      </c>
    </row>
    <row r="225" spans="1:5" x14ac:dyDescent="0.25">
      <c r="A225" s="31">
        <v>2003</v>
      </c>
      <c r="B225" s="3">
        <v>1038.2639630000001</v>
      </c>
      <c r="C225" s="3">
        <v>519.13198150000005</v>
      </c>
      <c r="D225" s="5">
        <v>11510.67</v>
      </c>
      <c r="E225" s="43">
        <f t="shared" si="8"/>
        <v>4.5100066416637789E-7</v>
      </c>
    </row>
    <row r="226" spans="1:5" x14ac:dyDescent="0.25">
      <c r="A226" s="31">
        <v>2004</v>
      </c>
      <c r="B226" s="3">
        <v>1217.3023229999999</v>
      </c>
      <c r="C226" s="3">
        <v>608.65116149999994</v>
      </c>
      <c r="D226" s="5">
        <v>12274.928</v>
      </c>
      <c r="E226" s="43">
        <f t="shared" si="8"/>
        <v>4.9584906852406785E-7</v>
      </c>
    </row>
    <row r="227" spans="1:5" x14ac:dyDescent="0.25">
      <c r="A227" s="31">
        <v>2005</v>
      </c>
      <c r="B227" s="3">
        <v>1536.0551889999999</v>
      </c>
      <c r="C227" s="3">
        <v>768.02759449999996</v>
      </c>
      <c r="D227" s="5">
        <v>13093.726000000001</v>
      </c>
      <c r="E227" s="43">
        <f t="shared" si="8"/>
        <v>5.8656152916289822E-7</v>
      </c>
    </row>
    <row r="228" spans="1:5" x14ac:dyDescent="0.25">
      <c r="A228" s="31">
        <v>2006</v>
      </c>
      <c r="B228" s="3">
        <v>1674.9357299999999</v>
      </c>
      <c r="C228" s="3">
        <v>837.46786499999996</v>
      </c>
      <c r="D228" s="5">
        <v>13855.888000000001</v>
      </c>
      <c r="E228" s="43">
        <f t="shared" si="8"/>
        <v>6.0441298673892283E-7</v>
      </c>
    </row>
    <row r="229" spans="1:5" x14ac:dyDescent="0.25">
      <c r="A229" s="31">
        <v>2007</v>
      </c>
      <c r="B229" s="3">
        <v>2090.388798</v>
      </c>
      <c r="C229" s="3">
        <v>1045.194399</v>
      </c>
      <c r="D229" s="5">
        <v>14477.635</v>
      </c>
      <c r="E229" s="43">
        <f t="shared" si="8"/>
        <v>7.2193724941953567E-7</v>
      </c>
    </row>
    <row r="230" spans="1:5" x14ac:dyDescent="0.25">
      <c r="A230" s="31">
        <v>2008</v>
      </c>
      <c r="B230" s="3">
        <v>2658.591101</v>
      </c>
      <c r="C230" s="3">
        <v>1329.2955505</v>
      </c>
      <c r="D230" s="5">
        <v>14718.582</v>
      </c>
      <c r="E230" s="43">
        <f t="shared" si="8"/>
        <v>9.0314104341029588E-7</v>
      </c>
    </row>
    <row r="231" spans="1:5" x14ac:dyDescent="0.25">
      <c r="A231" s="31">
        <v>2009</v>
      </c>
      <c r="B231" s="3">
        <v>1909.450292</v>
      </c>
      <c r="C231" s="3">
        <v>954.725146</v>
      </c>
      <c r="D231" s="5">
        <v>14418.739</v>
      </c>
      <c r="E231" s="43">
        <f t="shared" si="8"/>
        <v>6.6214191546153934E-7</v>
      </c>
    </row>
    <row r="232" spans="1:5" x14ac:dyDescent="0.25">
      <c r="A232" s="31">
        <v>2010</v>
      </c>
      <c r="B232" s="3">
        <v>1915.172262</v>
      </c>
      <c r="C232" s="3">
        <v>957.58613100000002</v>
      </c>
      <c r="D232" s="5">
        <v>14964.371999999999</v>
      </c>
      <c r="E232" s="43">
        <f t="shared" si="8"/>
        <v>6.3991066982296351E-7</v>
      </c>
    </row>
    <row r="233" spans="1:5" x14ac:dyDescent="0.25">
      <c r="A233" s="31">
        <v>2011</v>
      </c>
      <c r="B233" s="3">
        <v>2470.6055799999999</v>
      </c>
      <c r="C233" s="3">
        <v>1235.30279</v>
      </c>
      <c r="D233" s="5">
        <v>15517.925999999999</v>
      </c>
      <c r="E233" s="43">
        <f t="shared" si="8"/>
        <v>7.9604889854481848E-7</v>
      </c>
    </row>
    <row r="234" spans="1:5" x14ac:dyDescent="0.25">
      <c r="A234" s="31">
        <v>2012</v>
      </c>
      <c r="B234" s="3">
        <v>2247.7525559999999</v>
      </c>
      <c r="C234" s="3">
        <v>1123.876278</v>
      </c>
      <c r="D234" s="5">
        <v>16155.254999999999</v>
      </c>
      <c r="E234" s="43">
        <f t="shared" si="8"/>
        <v>6.9567226144062721E-7</v>
      </c>
    </row>
    <row r="235" spans="1:5" x14ac:dyDescent="0.25">
      <c r="A235" s="31">
        <v>2013</v>
      </c>
      <c r="B235" s="3">
        <v>2647.175538</v>
      </c>
      <c r="C235" s="3">
        <v>1323.587769</v>
      </c>
      <c r="D235" s="5">
        <v>16663.16</v>
      </c>
      <c r="E235" s="43">
        <f t="shared" si="8"/>
        <v>7.9431978628303399E-7</v>
      </c>
    </row>
    <row r="236" spans="1:5" x14ac:dyDescent="0.25">
      <c r="A236" s="31">
        <v>2014</v>
      </c>
      <c r="B236" s="3">
        <v>3818.3010549999999</v>
      </c>
      <c r="C236" s="3">
        <v>1909.1505275</v>
      </c>
      <c r="D236" s="5">
        <v>17348.071499999998</v>
      </c>
      <c r="E236" s="43">
        <f t="shared" si="8"/>
        <v>1.1004972670881603E-6</v>
      </c>
    </row>
    <row r="237" spans="1:5" x14ac:dyDescent="0.25">
      <c r="A237" s="31">
        <v>2015</v>
      </c>
      <c r="B237" s="3">
        <v>3872.0835889999998</v>
      </c>
      <c r="C237" s="3">
        <v>1936.0417944999999</v>
      </c>
      <c r="D237" s="5">
        <v>17946.995999999999</v>
      </c>
      <c r="E237" s="47">
        <f t="shared" si="8"/>
        <v>1.0787553496418008E-6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13" workbookViewId="0">
      <selection activeCell="D17" sqref="D17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141</v>
      </c>
    </row>
    <row r="2" spans="1:2" x14ac:dyDescent="0.25">
      <c r="A2" s="54">
        <v>1991</v>
      </c>
      <c r="B2" s="121">
        <v>3.950151</v>
      </c>
    </row>
    <row r="3" spans="1:2" x14ac:dyDescent="0.25">
      <c r="A3" s="55">
        <v>1992</v>
      </c>
      <c r="B3" s="121">
        <v>16.932155999999999</v>
      </c>
    </row>
    <row r="4" spans="1:2" x14ac:dyDescent="0.25">
      <c r="A4" s="54">
        <v>1993</v>
      </c>
      <c r="B4" s="121">
        <v>28.760771999999999</v>
      </c>
    </row>
    <row r="5" spans="1:2" x14ac:dyDescent="0.25">
      <c r="A5" s="55">
        <v>1994</v>
      </c>
      <c r="B5" s="121">
        <v>53.276423999999999</v>
      </c>
    </row>
    <row r="6" spans="1:2" x14ac:dyDescent="0.25">
      <c r="A6" s="54">
        <v>1995</v>
      </c>
      <c r="B6" s="121">
        <v>45.640956000000003</v>
      </c>
    </row>
    <row r="7" spans="1:2" x14ac:dyDescent="0.25">
      <c r="A7" s="55">
        <v>1996</v>
      </c>
      <c r="B7" s="121">
        <v>93.808887999999996</v>
      </c>
    </row>
    <row r="8" spans="1:2" x14ac:dyDescent="0.25">
      <c r="A8" s="54">
        <v>1997</v>
      </c>
      <c r="B8" s="121">
        <v>85.494696000000005</v>
      </c>
    </row>
    <row r="9" spans="1:2" x14ac:dyDescent="0.25">
      <c r="A9" s="55">
        <v>1998</v>
      </c>
      <c r="B9" s="121">
        <v>73.777888000000004</v>
      </c>
    </row>
    <row r="10" spans="1:2" x14ac:dyDescent="0.25">
      <c r="A10" s="54">
        <v>1999</v>
      </c>
      <c r="B10" s="121">
        <v>26.589012</v>
      </c>
    </row>
    <row r="11" spans="1:2" x14ac:dyDescent="0.25">
      <c r="A11" s="55">
        <v>2000</v>
      </c>
      <c r="B11" s="121">
        <v>35.731420999999997</v>
      </c>
    </row>
    <row r="12" spans="1:2" x14ac:dyDescent="0.25">
      <c r="A12" s="54">
        <v>2001</v>
      </c>
      <c r="B12" s="121">
        <v>35.341216000000003</v>
      </c>
    </row>
    <row r="13" spans="1:2" x14ac:dyDescent="0.25">
      <c r="A13" s="55">
        <v>2002</v>
      </c>
      <c r="B13" s="121">
        <v>32.871679999999998</v>
      </c>
    </row>
    <row r="14" spans="1:2" x14ac:dyDescent="0.25">
      <c r="A14" s="54">
        <v>2003</v>
      </c>
      <c r="B14" s="121">
        <v>40.188004999999997</v>
      </c>
    </row>
    <row r="15" spans="1:2" x14ac:dyDescent="0.25">
      <c r="A15" s="55">
        <v>2004</v>
      </c>
      <c r="B15" s="121">
        <v>64.205455000000001</v>
      </c>
    </row>
    <row r="16" spans="1:2" x14ac:dyDescent="0.25">
      <c r="A16" s="54">
        <v>2005</v>
      </c>
      <c r="B16" s="121">
        <v>91.651819000000003</v>
      </c>
    </row>
    <row r="17" spans="1:2" x14ac:dyDescent="0.25">
      <c r="A17" s="55">
        <v>2006</v>
      </c>
      <c r="B17" s="121">
        <v>135.10455300000001</v>
      </c>
    </row>
    <row r="18" spans="1:2" x14ac:dyDescent="0.25">
      <c r="A18" s="54">
        <v>2007</v>
      </c>
      <c r="B18" s="121">
        <v>168.412272</v>
      </c>
    </row>
    <row r="19" spans="1:2" x14ac:dyDescent="0.25">
      <c r="A19" s="55">
        <v>2008</v>
      </c>
      <c r="B19" s="121">
        <v>257.28998200000001</v>
      </c>
    </row>
    <row r="20" spans="1:2" x14ac:dyDescent="0.25">
      <c r="A20" s="54">
        <v>2009</v>
      </c>
      <c r="B20" s="121">
        <v>112.648813</v>
      </c>
    </row>
    <row r="21" spans="1:2" x14ac:dyDescent="0.25">
      <c r="A21" s="55">
        <v>2010</v>
      </c>
      <c r="B21" s="121">
        <v>97.545862999999997</v>
      </c>
    </row>
    <row r="22" spans="1:2" x14ac:dyDescent="0.25">
      <c r="A22" s="54">
        <v>2011</v>
      </c>
      <c r="B22" s="121">
        <v>147.564931</v>
      </c>
    </row>
    <row r="23" spans="1:2" x14ac:dyDescent="0.25">
      <c r="A23" s="55">
        <v>2012</v>
      </c>
      <c r="B23" s="121">
        <v>214.34607099999999</v>
      </c>
    </row>
    <row r="24" spans="1:2" x14ac:dyDescent="0.25">
      <c r="A24" s="54">
        <v>2013</v>
      </c>
      <c r="B24" s="121">
        <v>319.22377799999998</v>
      </c>
    </row>
    <row r="25" spans="1:2" x14ac:dyDescent="0.25">
      <c r="A25" s="55">
        <v>2014</v>
      </c>
      <c r="B25" s="121">
        <v>370.25603999999998</v>
      </c>
    </row>
    <row r="26" spans="1:2" x14ac:dyDescent="0.25">
      <c r="A26" s="54">
        <v>2015</v>
      </c>
      <c r="B26" s="121">
        <v>470.23585700000001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" sqref="B2:B26"/>
    </sheetView>
  </sheetViews>
  <sheetFormatPr baseColWidth="10" defaultRowHeight="15" x14ac:dyDescent="0.25"/>
  <cols>
    <col min="2" max="2" width="12.85546875" customWidth="1"/>
  </cols>
  <sheetData>
    <row r="1" spans="1:7" ht="75" x14ac:dyDescent="0.25">
      <c r="A1" s="34" t="s">
        <v>3</v>
      </c>
      <c r="B1" s="34" t="s">
        <v>142</v>
      </c>
    </row>
    <row r="2" spans="1:7" x14ac:dyDescent="0.25">
      <c r="A2" s="54">
        <v>1991</v>
      </c>
      <c r="B2" s="74" t="e">
        <f>('Export 08'!B2/1000)-('Import 08'!B2)</f>
        <v>#VALUE!</v>
      </c>
      <c r="D2" s="128" t="s">
        <v>36</v>
      </c>
      <c r="E2" s="128"/>
      <c r="F2" s="117" t="s">
        <v>10</v>
      </c>
      <c r="G2" s="7" t="s">
        <v>37</v>
      </c>
    </row>
    <row r="3" spans="1:7" x14ac:dyDescent="0.25">
      <c r="A3" s="55">
        <v>1992</v>
      </c>
      <c r="B3" s="74" t="e">
        <f>('Export 08'!B3/1000)-('Import 08'!B3)</f>
        <v>#VALUE!</v>
      </c>
    </row>
    <row r="4" spans="1:7" x14ac:dyDescent="0.25">
      <c r="A4" s="54">
        <v>1993</v>
      </c>
      <c r="B4" s="74">
        <f>('Export 08'!B4/1000)-('Import 08'!B4)</f>
        <v>-28.760020000000001</v>
      </c>
    </row>
    <row r="5" spans="1:7" x14ac:dyDescent="0.25">
      <c r="A5" s="55">
        <v>1994</v>
      </c>
      <c r="B5" s="74">
        <f>('Export 08'!B5/1000)-('Import 08'!B5)</f>
        <v>-53.262578999999995</v>
      </c>
    </row>
    <row r="6" spans="1:7" x14ac:dyDescent="0.25">
      <c r="A6" s="54">
        <v>1995</v>
      </c>
      <c r="B6" s="74" t="e">
        <f>('Export 08'!B6/1000)-('Import 08'!B6)</f>
        <v>#VALUE!</v>
      </c>
    </row>
    <row r="7" spans="1:7" x14ac:dyDescent="0.25">
      <c r="A7" s="55">
        <v>1996</v>
      </c>
      <c r="B7" s="74">
        <f>('Export 08'!B7/1000)-('Import 08'!B7)</f>
        <v>-93.794002999999989</v>
      </c>
    </row>
    <row r="8" spans="1:7" x14ac:dyDescent="0.25">
      <c r="A8" s="54">
        <v>1997</v>
      </c>
      <c r="B8" s="74">
        <f>('Export 08'!B8/1000)-('Import 08'!B8)</f>
        <v>-85.490116</v>
      </c>
    </row>
    <row r="9" spans="1:7" x14ac:dyDescent="0.25">
      <c r="A9" s="55">
        <v>1998</v>
      </c>
      <c r="B9" s="74">
        <f>('Export 08'!B9/1000)-('Import 08'!B9)</f>
        <v>-73.765184000000005</v>
      </c>
    </row>
    <row r="10" spans="1:7" x14ac:dyDescent="0.25">
      <c r="A10" s="54">
        <v>1999</v>
      </c>
      <c r="B10" s="74" t="e">
        <f>('Export 08'!B10/1000)-('Import 08'!B10)</f>
        <v>#VALUE!</v>
      </c>
    </row>
    <row r="11" spans="1:7" x14ac:dyDescent="0.25">
      <c r="A11" s="55">
        <v>2000</v>
      </c>
      <c r="B11" s="74" t="e">
        <f>('Export 08'!B11/1000)-('Import 08'!B11)</f>
        <v>#VALUE!</v>
      </c>
    </row>
    <row r="12" spans="1:7" x14ac:dyDescent="0.25">
      <c r="A12" s="54">
        <v>2001</v>
      </c>
      <c r="B12" s="74" t="e">
        <f>('Export 08'!B12/1000)-('Import 08'!B12)</f>
        <v>#VALUE!</v>
      </c>
    </row>
    <row r="13" spans="1:7" x14ac:dyDescent="0.25">
      <c r="A13" s="55">
        <v>2002</v>
      </c>
      <c r="B13" s="74">
        <f>('Export 08'!B13/1000)-('Import 08'!B13)</f>
        <v>-32.800066000000001</v>
      </c>
    </row>
    <row r="14" spans="1:7" x14ac:dyDescent="0.25">
      <c r="A14" s="54">
        <v>2003</v>
      </c>
      <c r="B14" s="74">
        <f>('Export 08'!B14/1000)-('Import 08'!B14)</f>
        <v>-40.131242999999998</v>
      </c>
    </row>
    <row r="15" spans="1:7" x14ac:dyDescent="0.25">
      <c r="A15" s="55">
        <v>2004</v>
      </c>
      <c r="B15" s="74">
        <f>('Export 08'!B15/1000)-('Import 08'!B15)</f>
        <v>-64.091941000000006</v>
      </c>
    </row>
    <row r="16" spans="1:7" x14ac:dyDescent="0.25">
      <c r="A16" s="54">
        <v>2005</v>
      </c>
      <c r="B16" s="74">
        <f>('Export 08'!B16/1000)-('Import 08'!B16)</f>
        <v>-91.434837999999999</v>
      </c>
    </row>
    <row r="17" spans="1:2" x14ac:dyDescent="0.25">
      <c r="A17" s="55">
        <v>2006</v>
      </c>
      <c r="B17" s="74">
        <f>('Export 08'!B17/1000)-('Import 08'!B17)</f>
        <v>-134.68638800000002</v>
      </c>
    </row>
    <row r="18" spans="1:2" x14ac:dyDescent="0.25">
      <c r="A18" s="54">
        <v>2007</v>
      </c>
      <c r="B18" s="74">
        <f>('Export 08'!B18/1000)-('Import 08'!B18)</f>
        <v>-168.004795</v>
      </c>
    </row>
    <row r="19" spans="1:2" x14ac:dyDescent="0.25">
      <c r="A19" s="55">
        <v>2008</v>
      </c>
      <c r="B19" s="74">
        <f>('Export 08'!B19/1000)-('Import 08'!B19)</f>
        <v>-256.478207</v>
      </c>
    </row>
    <row r="20" spans="1:2" x14ac:dyDescent="0.25">
      <c r="A20" s="54">
        <v>2009</v>
      </c>
      <c r="B20" s="74">
        <f>('Export 08'!B20/1000)-('Import 08'!B20)</f>
        <v>-112.34783300000001</v>
      </c>
    </row>
    <row r="21" spans="1:2" x14ac:dyDescent="0.25">
      <c r="A21" s="55">
        <v>2010</v>
      </c>
      <c r="B21" s="74">
        <f>('Export 08'!B21/1000)-('Import 08'!B21)</f>
        <v>-96.924306999999999</v>
      </c>
    </row>
    <row r="22" spans="1:2" x14ac:dyDescent="0.25">
      <c r="A22" s="54">
        <v>2011</v>
      </c>
      <c r="B22" s="74">
        <f>('Export 08'!B22/1000)-('Import 08'!B22)</f>
        <v>-146.957853</v>
      </c>
    </row>
    <row r="23" spans="1:2" x14ac:dyDescent="0.25">
      <c r="A23" s="55">
        <v>2012</v>
      </c>
      <c r="B23" s="74">
        <f>('Export 08'!B23/1000)-('Import 08'!B23)</f>
        <v>-214.00328999999999</v>
      </c>
    </row>
    <row r="24" spans="1:2" x14ac:dyDescent="0.25">
      <c r="A24" s="54">
        <v>2013</v>
      </c>
      <c r="B24" s="74">
        <f>('Export 08'!B24/1000)-('Import 08'!B24)</f>
        <v>-318.34703400000001</v>
      </c>
    </row>
    <row r="25" spans="1:2" x14ac:dyDescent="0.25">
      <c r="A25" s="55">
        <v>2014</v>
      </c>
      <c r="B25" s="74">
        <f>('Export 08'!B25/1000)-('Import 08'!B25)</f>
        <v>-370.02300199999996</v>
      </c>
    </row>
    <row r="26" spans="1:2" x14ac:dyDescent="0.25">
      <c r="A26" s="54">
        <v>2015</v>
      </c>
      <c r="B26" s="74">
        <f>('Export 08'!B26/1000)-('Import 08'!B26)</f>
        <v>-469.22317800000002</v>
      </c>
    </row>
    <row r="27" spans="1:2" x14ac:dyDescent="0.25">
      <c r="A27" t="s">
        <v>117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163" zoomScale="110" zoomScaleNormal="110" workbookViewId="0">
      <selection activeCell="B127" sqref="B127:B149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4.28515625" bestFit="1" customWidth="1"/>
    <col min="6" max="6" width="13.28515625" customWidth="1"/>
    <col min="7" max="8" width="12.5703125" customWidth="1"/>
    <col min="9" max="9" width="3.7109375" customWidth="1"/>
    <col min="11" max="11" width="12.28515625" bestFit="1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117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121</v>
      </c>
      <c r="C6" s="13" t="s">
        <v>9</v>
      </c>
      <c r="D6" s="14" t="s">
        <v>4</v>
      </c>
    </row>
    <row r="7" spans="1:10" x14ac:dyDescent="0.25">
      <c r="A7" s="10">
        <v>1991</v>
      </c>
      <c r="B7" s="93" t="str">
        <f>'Export 08'!B2</f>
        <v>n.d</v>
      </c>
      <c r="C7" s="5">
        <v>41239.551378248201</v>
      </c>
      <c r="D7" s="122" t="e">
        <f t="shared" ref="D7:D31" si="0">B7/(C7*100)</f>
        <v>#VALUE!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93" t="str">
        <f>'Export 08'!B3</f>
        <v>n.d</v>
      </c>
      <c r="C8" s="5">
        <v>49279.585355094838</v>
      </c>
      <c r="D8" s="122" t="e">
        <f t="shared" si="0"/>
        <v>#VALUE!</v>
      </c>
    </row>
    <row r="9" spans="1:10" x14ac:dyDescent="0.25">
      <c r="A9" s="10">
        <v>1993</v>
      </c>
      <c r="B9" s="93">
        <f>'Export 08'!B4</f>
        <v>0.752</v>
      </c>
      <c r="C9" s="5">
        <v>55802.540100979531</v>
      </c>
      <c r="D9" s="122">
        <f t="shared" si="0"/>
        <v>1.3476089056863555E-7</v>
      </c>
    </row>
    <row r="10" spans="1:10" x14ac:dyDescent="0.25">
      <c r="A10" s="10">
        <v>1994</v>
      </c>
      <c r="B10" s="93">
        <f>'Export 08'!B5</f>
        <v>13.845000000000001</v>
      </c>
      <c r="C10" s="5">
        <v>81703.496603993364</v>
      </c>
      <c r="D10" s="122">
        <f t="shared" si="0"/>
        <v>1.6945419199260204E-6</v>
      </c>
    </row>
    <row r="11" spans="1:10" x14ac:dyDescent="0.25">
      <c r="A11" s="10">
        <v>1995</v>
      </c>
      <c r="B11" s="93" t="str">
        <f>'Export 08'!B6</f>
        <v>n.d</v>
      </c>
      <c r="C11" s="5">
        <v>92507.277798198498</v>
      </c>
      <c r="D11" s="122" t="e">
        <f t="shared" si="0"/>
        <v>#VALUE!</v>
      </c>
    </row>
    <row r="12" spans="1:10" x14ac:dyDescent="0.25">
      <c r="A12" s="10">
        <v>1996</v>
      </c>
      <c r="B12" s="93">
        <f>'Export 08'!B7</f>
        <v>14.885</v>
      </c>
      <c r="C12" s="5">
        <v>97160.111573336981</v>
      </c>
      <c r="D12" s="122">
        <f t="shared" si="0"/>
        <v>1.5320072979501181E-6</v>
      </c>
    </row>
    <row r="13" spans="1:10" x14ac:dyDescent="0.25">
      <c r="A13" s="10">
        <v>1997</v>
      </c>
      <c r="B13" s="93">
        <f>'Export 08'!B8</f>
        <v>4.58</v>
      </c>
      <c r="C13" s="5">
        <v>106659.5079635281</v>
      </c>
      <c r="D13" s="122">
        <f t="shared" si="0"/>
        <v>4.2940381851059331E-7</v>
      </c>
    </row>
    <row r="14" spans="1:10" x14ac:dyDescent="0.25">
      <c r="A14" s="10">
        <v>1998</v>
      </c>
      <c r="B14" s="93">
        <f>'Export 08'!B9</f>
        <v>12.704000000000001</v>
      </c>
      <c r="C14" s="5">
        <v>98443.743190849113</v>
      </c>
      <c r="D14" s="122">
        <f t="shared" si="0"/>
        <v>1.29048323318743E-6</v>
      </c>
    </row>
    <row r="15" spans="1:10" x14ac:dyDescent="0.25">
      <c r="A15" s="10">
        <v>1999</v>
      </c>
      <c r="B15" s="93" t="str">
        <f>'Export 08'!B10</f>
        <v>n.d</v>
      </c>
      <c r="C15" s="5">
        <v>86186.156584381664</v>
      </c>
      <c r="D15" s="122" t="e">
        <f t="shared" si="0"/>
        <v>#VALUE!</v>
      </c>
    </row>
    <row r="16" spans="1:10" x14ac:dyDescent="0.25">
      <c r="A16" s="10">
        <v>2000</v>
      </c>
      <c r="B16" s="93" t="str">
        <f>'Export 08'!B11</f>
        <v>n.d</v>
      </c>
      <c r="C16" s="5">
        <v>99886.577575544405</v>
      </c>
      <c r="D16" s="122" t="e">
        <f t="shared" si="0"/>
        <v>#VALUE!</v>
      </c>
    </row>
    <row r="17" spans="1:4" x14ac:dyDescent="0.25">
      <c r="A17" s="10">
        <v>2001</v>
      </c>
      <c r="B17" s="93" t="str">
        <f>'Export 08'!B12</f>
        <v>n.d</v>
      </c>
      <c r="C17" s="5">
        <v>98203.544965267793</v>
      </c>
      <c r="D17" s="122" t="e">
        <f t="shared" si="0"/>
        <v>#VALUE!</v>
      </c>
    </row>
    <row r="18" spans="1:4" x14ac:dyDescent="0.25">
      <c r="A18" s="10">
        <v>2002</v>
      </c>
      <c r="B18" s="93">
        <f>'Export 08'!B13</f>
        <v>71.614000000000004</v>
      </c>
      <c r="C18" s="5">
        <v>97933.392356425262</v>
      </c>
      <c r="D18" s="122">
        <f t="shared" si="0"/>
        <v>7.3125211204124612E-6</v>
      </c>
    </row>
    <row r="19" spans="1:4" x14ac:dyDescent="0.25">
      <c r="A19" s="10">
        <v>2003</v>
      </c>
      <c r="B19" s="93">
        <f>'Export 08'!B14</f>
        <v>56.762</v>
      </c>
      <c r="C19" s="5">
        <v>94684.582573316715</v>
      </c>
      <c r="D19" s="122">
        <f t="shared" si="0"/>
        <v>5.9948513746731388E-6</v>
      </c>
    </row>
    <row r="20" spans="1:4" x14ac:dyDescent="0.25">
      <c r="A20" s="10">
        <v>2004</v>
      </c>
      <c r="B20" s="93">
        <f>'Export 08'!B15</f>
        <v>113.514</v>
      </c>
      <c r="C20" s="5">
        <v>117074.86551527939</v>
      </c>
      <c r="D20" s="122">
        <f t="shared" si="0"/>
        <v>9.6958471402374004E-6</v>
      </c>
    </row>
    <row r="21" spans="1:4" x14ac:dyDescent="0.25">
      <c r="A21" s="10">
        <v>2005</v>
      </c>
      <c r="B21" s="93">
        <f>'Export 08'!B16</f>
        <v>216.98099999999999</v>
      </c>
      <c r="C21" s="5">
        <v>146566.26631057015</v>
      </c>
      <c r="D21" s="122">
        <f t="shared" si="0"/>
        <v>1.4804293338565563E-5</v>
      </c>
    </row>
    <row r="22" spans="1:4" x14ac:dyDescent="0.25">
      <c r="A22" s="10">
        <v>2006</v>
      </c>
      <c r="B22" s="93">
        <f>'Export 08'!B17</f>
        <v>418.16500000000002</v>
      </c>
      <c r="C22" s="5">
        <v>162590.1460964143</v>
      </c>
      <c r="D22" s="122">
        <f t="shared" si="0"/>
        <v>2.5718963297568625E-5</v>
      </c>
    </row>
    <row r="23" spans="1:4" x14ac:dyDescent="0.25">
      <c r="A23" s="10">
        <v>2007</v>
      </c>
      <c r="B23" s="93">
        <f>'Export 08'!B18</f>
        <v>407.47699999999998</v>
      </c>
      <c r="C23" s="5">
        <v>207416.49464237894</v>
      </c>
      <c r="D23" s="122">
        <f t="shared" si="0"/>
        <v>1.9645351769277517E-5</v>
      </c>
    </row>
    <row r="24" spans="1:4" x14ac:dyDescent="0.25">
      <c r="A24" s="10">
        <v>2008</v>
      </c>
      <c r="B24" s="93">
        <f>'Export 08'!B19</f>
        <v>811.77499999999998</v>
      </c>
      <c r="C24" s="5">
        <v>243982.43787084011</v>
      </c>
      <c r="D24" s="122">
        <f t="shared" si="0"/>
        <v>3.3271861986629509E-5</v>
      </c>
    </row>
    <row r="25" spans="1:4" x14ac:dyDescent="0.25">
      <c r="A25" s="10">
        <v>2009</v>
      </c>
      <c r="B25" s="93">
        <f>'Export 08'!B20</f>
        <v>300.98</v>
      </c>
      <c r="C25" s="5">
        <v>233821.6705442575</v>
      </c>
      <c r="D25" s="122">
        <f t="shared" si="0"/>
        <v>1.2872202961317516E-5</v>
      </c>
    </row>
    <row r="26" spans="1:4" x14ac:dyDescent="0.25">
      <c r="A26" s="10">
        <v>2010</v>
      </c>
      <c r="B26" s="93">
        <f>'Export 08'!B21</f>
        <v>621.55600000000004</v>
      </c>
      <c r="C26" s="5">
        <v>287018.18463752925</v>
      </c>
      <c r="D26" s="122">
        <f t="shared" si="0"/>
        <v>2.1655631359558396E-5</v>
      </c>
    </row>
    <row r="27" spans="1:4" x14ac:dyDescent="0.25">
      <c r="A27" s="10">
        <v>2011</v>
      </c>
      <c r="B27" s="93">
        <f>'Export 08'!B22</f>
        <v>607.07799999999997</v>
      </c>
      <c r="C27" s="5">
        <v>335415.15670218616</v>
      </c>
      <c r="D27" s="122">
        <f t="shared" si="0"/>
        <v>1.8099301354441242E-5</v>
      </c>
    </row>
    <row r="28" spans="1:4" x14ac:dyDescent="0.25">
      <c r="A28" s="10">
        <v>2012</v>
      </c>
      <c r="B28" s="93">
        <f>'Export 08'!B23</f>
        <v>342.78100000000001</v>
      </c>
      <c r="C28" s="5">
        <v>369659.70037551981</v>
      </c>
      <c r="D28" s="122">
        <f t="shared" si="0"/>
        <v>9.2728798852508128E-6</v>
      </c>
    </row>
    <row r="29" spans="1:4" x14ac:dyDescent="0.25">
      <c r="A29" s="10">
        <v>2013</v>
      </c>
      <c r="B29" s="93">
        <f>'Export 08'!B24</f>
        <v>876.74400000000003</v>
      </c>
      <c r="C29" s="5">
        <v>380191.88186037214</v>
      </c>
      <c r="D29" s="122">
        <f t="shared" si="0"/>
        <v>2.3060566041280962E-5</v>
      </c>
    </row>
    <row r="30" spans="1:4" x14ac:dyDescent="0.25">
      <c r="A30" s="10">
        <v>2014</v>
      </c>
      <c r="B30" s="93">
        <f>'Export 08'!B25</f>
        <v>233.03800000000001</v>
      </c>
      <c r="C30" s="5">
        <v>378416.02053371473</v>
      </c>
      <c r="D30" s="122">
        <f t="shared" si="0"/>
        <v>6.1582487884980453E-6</v>
      </c>
    </row>
    <row r="31" spans="1:4" x14ac:dyDescent="0.25">
      <c r="A31" s="11">
        <v>2015</v>
      </c>
      <c r="B31" s="93">
        <f>'Export 08'!B26</f>
        <v>1012.679</v>
      </c>
      <c r="C31" s="6">
        <v>292080.15563330991</v>
      </c>
      <c r="D31" s="122">
        <f t="shared" si="0"/>
        <v>3.4671270213624541E-5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41</v>
      </c>
      <c r="C35" s="13" t="s">
        <v>9</v>
      </c>
      <c r="D35" s="14" t="s">
        <v>40</v>
      </c>
    </row>
    <row r="36" spans="1:10" x14ac:dyDescent="0.25">
      <c r="A36" s="10">
        <v>1991</v>
      </c>
      <c r="B36" s="93">
        <f>'Import 08'!B2</f>
        <v>3.950151</v>
      </c>
      <c r="C36" s="5">
        <v>41239.551378248172</v>
      </c>
      <c r="D36" s="19">
        <f t="shared" ref="D36:D60" si="1">(B36/C36)/100</f>
        <v>9.5785498822945716E-7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93">
        <f>'Import 08'!B3</f>
        <v>16.932155999999999</v>
      </c>
      <c r="C37" s="5">
        <v>49279.585355094838</v>
      </c>
      <c r="D37" s="19">
        <f t="shared" si="1"/>
        <v>3.4359371894044245E-6</v>
      </c>
    </row>
    <row r="38" spans="1:10" x14ac:dyDescent="0.25">
      <c r="A38" s="10">
        <v>1993</v>
      </c>
      <c r="B38" s="93">
        <f>'Import 08'!B4</f>
        <v>28.760771999999999</v>
      </c>
      <c r="C38" s="5">
        <v>55802.540100979531</v>
      </c>
      <c r="D38" s="19">
        <f t="shared" si="1"/>
        <v>5.1540255959594121E-6</v>
      </c>
    </row>
    <row r="39" spans="1:10" x14ac:dyDescent="0.25">
      <c r="A39" s="10">
        <v>1994</v>
      </c>
      <c r="B39" s="93">
        <f>'Import 08'!B5</f>
        <v>53.276423999999999</v>
      </c>
      <c r="C39" s="5">
        <v>81703.496603993364</v>
      </c>
      <c r="D39" s="19">
        <f t="shared" si="1"/>
        <v>6.5207030561034813E-6</v>
      </c>
    </row>
    <row r="40" spans="1:10" x14ac:dyDescent="0.25">
      <c r="A40" s="10">
        <v>1995</v>
      </c>
      <c r="B40" s="93">
        <f>'Import 08'!B6</f>
        <v>45.640956000000003</v>
      </c>
      <c r="C40" s="5">
        <v>92507.277798198498</v>
      </c>
      <c r="D40" s="19">
        <f t="shared" si="1"/>
        <v>4.9337692218729218E-6</v>
      </c>
    </row>
    <row r="41" spans="1:10" x14ac:dyDescent="0.25">
      <c r="A41" s="10">
        <v>1996</v>
      </c>
      <c r="B41" s="93">
        <f>'Import 08'!B7</f>
        <v>93.808887999999996</v>
      </c>
      <c r="C41" s="5">
        <v>97160.111573336981</v>
      </c>
      <c r="D41" s="19">
        <f t="shared" si="1"/>
        <v>9.6550823667171827E-6</v>
      </c>
    </row>
    <row r="42" spans="1:10" x14ac:dyDescent="0.25">
      <c r="A42" s="10">
        <v>1997</v>
      </c>
      <c r="B42" s="93">
        <f>'Import 08'!B8</f>
        <v>85.494696000000005</v>
      </c>
      <c r="C42" s="5">
        <v>106659.5079635281</v>
      </c>
      <c r="D42" s="19">
        <f t="shared" si="1"/>
        <v>8.0156657041053153E-6</v>
      </c>
    </row>
    <row r="43" spans="1:10" x14ac:dyDescent="0.25">
      <c r="A43" s="10">
        <v>1998</v>
      </c>
      <c r="B43" s="93">
        <f>'Import 08'!B9</f>
        <v>73.777888000000004</v>
      </c>
      <c r="C43" s="5">
        <v>98443.743190849113</v>
      </c>
      <c r="D43" s="19">
        <f t="shared" si="1"/>
        <v>7.4944212408674504E-6</v>
      </c>
    </row>
    <row r="44" spans="1:10" x14ac:dyDescent="0.25">
      <c r="A44" s="10">
        <v>1999</v>
      </c>
      <c r="B44" s="93">
        <f>'Import 08'!B10</f>
        <v>26.589012</v>
      </c>
      <c r="C44" s="5">
        <v>86186.156584381664</v>
      </c>
      <c r="D44" s="19">
        <f t="shared" si="1"/>
        <v>3.0850676087368726E-6</v>
      </c>
    </row>
    <row r="45" spans="1:10" x14ac:dyDescent="0.25">
      <c r="A45" s="10">
        <v>2000</v>
      </c>
      <c r="B45" s="93">
        <f>'Import 08'!B11</f>
        <v>35.731420999999997</v>
      </c>
      <c r="C45" s="5">
        <v>99886.577575544405</v>
      </c>
      <c r="D45" s="19">
        <f t="shared" si="1"/>
        <v>3.5771994463396502E-6</v>
      </c>
    </row>
    <row r="46" spans="1:10" x14ac:dyDescent="0.25">
      <c r="A46" s="10">
        <v>2001</v>
      </c>
      <c r="B46" s="93">
        <f>'Import 08'!B12</f>
        <v>35.341216000000003</v>
      </c>
      <c r="C46" s="5">
        <v>98203.544965267793</v>
      </c>
      <c r="D46" s="19">
        <f t="shared" si="1"/>
        <v>3.5987719193333939E-6</v>
      </c>
    </row>
    <row r="47" spans="1:10" x14ac:dyDescent="0.25">
      <c r="A47" s="10">
        <v>2002</v>
      </c>
      <c r="B47" s="93">
        <f>'Import 08'!B13</f>
        <v>32.871679999999998</v>
      </c>
      <c r="C47" s="5">
        <v>97933.392356425262</v>
      </c>
      <c r="D47" s="19">
        <f t="shared" si="1"/>
        <v>3.3565343963951165E-6</v>
      </c>
    </row>
    <row r="48" spans="1:10" x14ac:dyDescent="0.25">
      <c r="A48" s="10">
        <v>2003</v>
      </c>
      <c r="B48" s="93">
        <f>'Import 08'!B14</f>
        <v>40.188004999999997</v>
      </c>
      <c r="C48" s="5">
        <v>94684.582573316715</v>
      </c>
      <c r="D48" s="19">
        <f t="shared" si="1"/>
        <v>4.244408530700485E-6</v>
      </c>
    </row>
    <row r="49" spans="1:10" x14ac:dyDescent="0.25">
      <c r="A49" s="10">
        <v>2004</v>
      </c>
      <c r="B49" s="93">
        <f>'Import 08'!B15</f>
        <v>64.205455000000001</v>
      </c>
      <c r="C49" s="5">
        <v>117074.86551527939</v>
      </c>
      <c r="D49" s="19">
        <f t="shared" si="1"/>
        <v>5.4841365580403404E-6</v>
      </c>
    </row>
    <row r="50" spans="1:10" x14ac:dyDescent="0.25">
      <c r="A50" s="10">
        <v>2005</v>
      </c>
      <c r="B50" s="93">
        <f>'Import 08'!B16</f>
        <v>91.651819000000003</v>
      </c>
      <c r="C50" s="5">
        <v>146566.26631057015</v>
      </c>
      <c r="D50" s="19">
        <f t="shared" si="1"/>
        <v>6.2532683206783855E-6</v>
      </c>
    </row>
    <row r="51" spans="1:10" x14ac:dyDescent="0.25">
      <c r="A51" s="10">
        <v>2006</v>
      </c>
      <c r="B51" s="93">
        <f>'Import 08'!B17</f>
        <v>135.10455300000001</v>
      </c>
      <c r="C51" s="5">
        <v>162590.1460964143</v>
      </c>
      <c r="D51" s="19">
        <f t="shared" si="1"/>
        <v>8.3095166739000509E-6</v>
      </c>
    </row>
    <row r="52" spans="1:10" x14ac:dyDescent="0.25">
      <c r="A52" s="10">
        <v>2007</v>
      </c>
      <c r="B52" s="93">
        <f>'Import 08'!B18</f>
        <v>168.412272</v>
      </c>
      <c r="C52" s="5">
        <v>207416.49464237894</v>
      </c>
      <c r="D52" s="19">
        <f t="shared" si="1"/>
        <v>8.1195216557087805E-6</v>
      </c>
    </row>
    <row r="53" spans="1:10" x14ac:dyDescent="0.25">
      <c r="A53" s="10">
        <v>2008</v>
      </c>
      <c r="B53" s="93">
        <f>'Import 08'!B19</f>
        <v>257.28998200000001</v>
      </c>
      <c r="C53" s="5">
        <v>243982.43787084011</v>
      </c>
      <c r="D53" s="19">
        <f t="shared" si="1"/>
        <v>1.054543041070049E-5</v>
      </c>
    </row>
    <row r="54" spans="1:10" x14ac:dyDescent="0.25">
      <c r="A54" s="10">
        <v>2009</v>
      </c>
      <c r="B54" s="93">
        <f>'Import 08'!B20</f>
        <v>112.648813</v>
      </c>
      <c r="C54" s="5">
        <v>233821.6705442575</v>
      </c>
      <c r="D54" s="19">
        <f t="shared" si="1"/>
        <v>4.8177233845687527E-6</v>
      </c>
    </row>
    <row r="55" spans="1:10" x14ac:dyDescent="0.25">
      <c r="A55" s="10">
        <v>2010</v>
      </c>
      <c r="B55" s="93">
        <f>'Import 08'!B21</f>
        <v>97.545862999999997</v>
      </c>
      <c r="C55" s="5">
        <v>287018.18463752925</v>
      </c>
      <c r="D55" s="19">
        <f t="shared" si="1"/>
        <v>3.3985952187381132E-6</v>
      </c>
    </row>
    <row r="56" spans="1:10" x14ac:dyDescent="0.25">
      <c r="A56" s="10">
        <v>2011</v>
      </c>
      <c r="B56" s="93">
        <f>'Import 08'!B22</f>
        <v>147.564931</v>
      </c>
      <c r="C56" s="5">
        <v>335415.15670218616</v>
      </c>
      <c r="D56" s="19">
        <f t="shared" si="1"/>
        <v>4.3994711643583339E-6</v>
      </c>
    </row>
    <row r="57" spans="1:10" x14ac:dyDescent="0.25">
      <c r="A57" s="10">
        <v>2012</v>
      </c>
      <c r="B57" s="93">
        <f>'Import 08'!B23</f>
        <v>214.34607099999999</v>
      </c>
      <c r="C57" s="5">
        <v>369659.70037551981</v>
      </c>
      <c r="D57" s="19">
        <f t="shared" si="1"/>
        <v>5.7984700734826095E-6</v>
      </c>
    </row>
    <row r="58" spans="1:10" x14ac:dyDescent="0.25">
      <c r="A58" s="10">
        <v>2013</v>
      </c>
      <c r="B58" s="93">
        <f>'Import 08'!B24</f>
        <v>319.22377799999998</v>
      </c>
      <c r="C58" s="5">
        <v>380191.88186037214</v>
      </c>
      <c r="D58" s="19">
        <f t="shared" si="1"/>
        <v>8.396385962739649E-6</v>
      </c>
    </row>
    <row r="59" spans="1:10" x14ac:dyDescent="0.25">
      <c r="A59" s="10">
        <v>2014</v>
      </c>
      <c r="B59" s="93">
        <f>'Import 08'!B25</f>
        <v>370.25603999999998</v>
      </c>
      <c r="C59" s="5">
        <v>378416.02053371473</v>
      </c>
      <c r="D59" s="19">
        <f t="shared" si="1"/>
        <v>9.7843648236085244E-6</v>
      </c>
    </row>
    <row r="60" spans="1:10" x14ac:dyDescent="0.25">
      <c r="A60" s="11">
        <v>2015</v>
      </c>
      <c r="B60" s="93">
        <f>'Import 08'!B26</f>
        <v>470.23585700000001</v>
      </c>
      <c r="C60" s="6">
        <v>292080.15563330991</v>
      </c>
      <c r="D60" s="19">
        <f t="shared" si="1"/>
        <v>1.6099548289420748E-5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117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8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93">
        <f>'Import 08'!B2</f>
        <v>3.950151</v>
      </c>
      <c r="C66" s="5">
        <v>6174.0429999999997</v>
      </c>
      <c r="D66" s="75">
        <f t="shared" ref="D66:D90" si="2">(B66/C66)/10000</f>
        <v>6.397997228072432E-8</v>
      </c>
      <c r="E66" s="1"/>
    </row>
    <row r="67" spans="1:5" x14ac:dyDescent="0.25">
      <c r="A67" s="10">
        <v>1992</v>
      </c>
      <c r="B67" s="93">
        <f>'Import 08'!B3</f>
        <v>16.932155999999999</v>
      </c>
      <c r="C67" s="5">
        <v>6539.299</v>
      </c>
      <c r="D67" s="75">
        <f t="shared" si="2"/>
        <v>2.589292216184028E-7</v>
      </c>
      <c r="E67" s="1"/>
    </row>
    <row r="68" spans="1:5" x14ac:dyDescent="0.25">
      <c r="A68" s="10">
        <v>1993</v>
      </c>
      <c r="B68" s="93">
        <f>'Import 08'!B4</f>
        <v>28.760771999999999</v>
      </c>
      <c r="C68" s="5">
        <v>6878.7179999999998</v>
      </c>
      <c r="D68" s="75">
        <f t="shared" si="2"/>
        <v>4.1811238663948717E-7</v>
      </c>
      <c r="E68" s="1"/>
    </row>
    <row r="69" spans="1:5" x14ac:dyDescent="0.25">
      <c r="A69" s="10">
        <v>1994</v>
      </c>
      <c r="B69" s="93">
        <f>'Import 08'!B5</f>
        <v>53.276423999999999</v>
      </c>
      <c r="C69" s="5">
        <v>7308.7550000000001</v>
      </c>
      <c r="D69" s="75">
        <f t="shared" si="2"/>
        <v>7.2893979891240025E-7</v>
      </c>
      <c r="E69" s="1"/>
    </row>
    <row r="70" spans="1:5" x14ac:dyDescent="0.25">
      <c r="A70" s="10">
        <v>1995</v>
      </c>
      <c r="B70" s="93">
        <f>'Import 08'!B6</f>
        <v>45.640956000000003</v>
      </c>
      <c r="C70" s="5">
        <v>7664.06</v>
      </c>
      <c r="D70" s="75">
        <f t="shared" si="2"/>
        <v>5.9551929395124781E-7</v>
      </c>
      <c r="E70" s="1"/>
    </row>
    <row r="71" spans="1:5" x14ac:dyDescent="0.25">
      <c r="A71" s="10">
        <v>1996</v>
      </c>
      <c r="B71" s="93">
        <f>'Import 08'!B7</f>
        <v>93.808887999999996</v>
      </c>
      <c r="C71" s="5">
        <v>8100.201</v>
      </c>
      <c r="D71" s="75">
        <f t="shared" si="2"/>
        <v>1.158105681575062E-6</v>
      </c>
      <c r="E71" s="1"/>
    </row>
    <row r="72" spans="1:5" x14ac:dyDescent="0.25">
      <c r="A72" s="10">
        <v>1997</v>
      </c>
      <c r="B72" s="93">
        <f>'Import 08'!B8</f>
        <v>85.494696000000005</v>
      </c>
      <c r="C72" s="5">
        <v>8608.5149999999994</v>
      </c>
      <c r="D72" s="75">
        <f t="shared" si="2"/>
        <v>9.9314104697500088E-7</v>
      </c>
      <c r="E72" s="1"/>
    </row>
    <row r="73" spans="1:5" x14ac:dyDescent="0.25">
      <c r="A73" s="10">
        <v>1998</v>
      </c>
      <c r="B73" s="93">
        <f>'Import 08'!B9</f>
        <v>73.777888000000004</v>
      </c>
      <c r="C73" s="5">
        <v>9089.1679999999997</v>
      </c>
      <c r="D73" s="75">
        <f t="shared" si="2"/>
        <v>8.1171222712573927E-7</v>
      </c>
      <c r="E73" s="1"/>
    </row>
    <row r="74" spans="1:5" x14ac:dyDescent="0.25">
      <c r="A74" s="10">
        <v>1999</v>
      </c>
      <c r="B74" s="93">
        <f>'Import 08'!B10</f>
        <v>26.589012</v>
      </c>
      <c r="C74" s="5">
        <v>9660.6239999999998</v>
      </c>
      <c r="D74" s="75">
        <f t="shared" si="2"/>
        <v>2.7523079254507785E-7</v>
      </c>
      <c r="E74" s="1"/>
    </row>
    <row r="75" spans="1:5" x14ac:dyDescent="0.25">
      <c r="A75" s="10">
        <v>2000</v>
      </c>
      <c r="B75" s="93">
        <f>'Import 08'!B11</f>
        <v>35.731420999999997</v>
      </c>
      <c r="C75" s="5">
        <v>10284.779</v>
      </c>
      <c r="D75" s="75">
        <f t="shared" si="2"/>
        <v>3.474204064083438E-7</v>
      </c>
      <c r="E75" s="1"/>
    </row>
    <row r="76" spans="1:5" x14ac:dyDescent="0.25">
      <c r="A76" s="10">
        <v>2001</v>
      </c>
      <c r="B76" s="93">
        <f>'Import 08'!B12</f>
        <v>35.341216000000003</v>
      </c>
      <c r="C76" s="5">
        <v>10621.824000000001</v>
      </c>
      <c r="D76" s="75">
        <f t="shared" si="2"/>
        <v>3.3272266608823496E-7</v>
      </c>
      <c r="E76" s="1"/>
    </row>
    <row r="77" spans="1:5" x14ac:dyDescent="0.25">
      <c r="A77" s="10">
        <v>2002</v>
      </c>
      <c r="B77" s="93">
        <f>'Import 08'!B13</f>
        <v>32.871679999999998</v>
      </c>
      <c r="C77" s="5">
        <v>10977.513999999999</v>
      </c>
      <c r="D77" s="75">
        <f t="shared" si="2"/>
        <v>2.9944557574693143E-7</v>
      </c>
      <c r="E77" s="1"/>
    </row>
    <row r="78" spans="1:5" x14ac:dyDescent="0.25">
      <c r="A78" s="10">
        <v>2003</v>
      </c>
      <c r="B78" s="93">
        <f>'Import 08'!B14</f>
        <v>40.188004999999997</v>
      </c>
      <c r="C78" s="5">
        <v>11510.67</v>
      </c>
      <c r="D78" s="75">
        <f t="shared" si="2"/>
        <v>3.4913697465047646E-7</v>
      </c>
      <c r="E78" s="1"/>
    </row>
    <row r="79" spans="1:5" x14ac:dyDescent="0.25">
      <c r="A79" s="10">
        <v>2004</v>
      </c>
      <c r="B79" s="93">
        <f>'Import 08'!B15</f>
        <v>64.205455000000001</v>
      </c>
      <c r="C79" s="5">
        <v>12274.928</v>
      </c>
      <c r="D79" s="75">
        <f t="shared" si="2"/>
        <v>5.2306176459853775E-7</v>
      </c>
      <c r="E79" s="1"/>
    </row>
    <row r="80" spans="1:5" x14ac:dyDescent="0.25">
      <c r="A80" s="10">
        <v>2005</v>
      </c>
      <c r="B80" s="93">
        <f>'Import 08'!B16</f>
        <v>91.651819000000003</v>
      </c>
      <c r="C80" s="5">
        <v>13093.726000000001</v>
      </c>
      <c r="D80" s="75">
        <f t="shared" si="2"/>
        <v>6.9996744242242425E-7</v>
      </c>
      <c r="E80" s="1"/>
    </row>
    <row r="81" spans="1:10" x14ac:dyDescent="0.25">
      <c r="A81" s="10">
        <v>2006</v>
      </c>
      <c r="B81" s="93">
        <f>'Import 08'!B17</f>
        <v>135.10455300000001</v>
      </c>
      <c r="C81" s="5">
        <v>13855.888000000001</v>
      </c>
      <c r="D81" s="75">
        <f t="shared" si="2"/>
        <v>9.7506960939638089E-7</v>
      </c>
      <c r="E81" s="1"/>
    </row>
    <row r="82" spans="1:10" x14ac:dyDescent="0.25">
      <c r="A82" s="10">
        <v>2007</v>
      </c>
      <c r="B82" s="93">
        <f>'Import 08'!B18</f>
        <v>168.412272</v>
      </c>
      <c r="C82" s="5">
        <v>14477.635</v>
      </c>
      <c r="D82" s="75">
        <f t="shared" si="2"/>
        <v>1.1632581702743576E-6</v>
      </c>
      <c r="E82" s="1"/>
    </row>
    <row r="83" spans="1:10" x14ac:dyDescent="0.25">
      <c r="A83" s="10">
        <v>2008</v>
      </c>
      <c r="B83" s="93">
        <f>'Import 08'!B19</f>
        <v>257.28998200000001</v>
      </c>
      <c r="C83" s="5">
        <v>14718.582</v>
      </c>
      <c r="D83" s="75">
        <f t="shared" si="2"/>
        <v>1.7480622929572972E-6</v>
      </c>
      <c r="E83" s="1"/>
    </row>
    <row r="84" spans="1:10" x14ac:dyDescent="0.25">
      <c r="A84" s="10">
        <v>2009</v>
      </c>
      <c r="B84" s="93">
        <f>'Import 08'!B20</f>
        <v>112.648813</v>
      </c>
      <c r="C84" s="5">
        <v>14418.739</v>
      </c>
      <c r="D84" s="75">
        <f t="shared" si="2"/>
        <v>7.8126674600323927E-7</v>
      </c>
      <c r="E84" s="1"/>
    </row>
    <row r="85" spans="1:10" x14ac:dyDescent="0.25">
      <c r="A85" s="10">
        <v>2010</v>
      </c>
      <c r="B85" s="93">
        <f>'Import 08'!B21</f>
        <v>97.545862999999997</v>
      </c>
      <c r="C85" s="5">
        <v>14964.371999999999</v>
      </c>
      <c r="D85" s="75">
        <f t="shared" si="2"/>
        <v>6.5185403704211584E-7</v>
      </c>
      <c r="E85" s="1"/>
    </row>
    <row r="86" spans="1:10" x14ac:dyDescent="0.25">
      <c r="A86" s="10">
        <v>2011</v>
      </c>
      <c r="B86" s="93">
        <f>'Import 08'!B22</f>
        <v>147.564931</v>
      </c>
      <c r="C86" s="5">
        <v>15517.925999999999</v>
      </c>
      <c r="D86" s="75">
        <f t="shared" si="2"/>
        <v>9.5093204465596768E-7</v>
      </c>
      <c r="E86" s="1"/>
    </row>
    <row r="87" spans="1:10" x14ac:dyDescent="0.25">
      <c r="A87" s="10">
        <v>2012</v>
      </c>
      <c r="B87" s="93">
        <f>'Import 08'!B23</f>
        <v>214.34607099999999</v>
      </c>
      <c r="C87" s="5">
        <v>16155.254999999999</v>
      </c>
      <c r="D87" s="75">
        <f t="shared" si="2"/>
        <v>1.3267885341333207E-6</v>
      </c>
      <c r="E87" s="1"/>
    </row>
    <row r="88" spans="1:10" x14ac:dyDescent="0.25">
      <c r="A88" s="10">
        <v>2013</v>
      </c>
      <c r="B88" s="93">
        <f>'Import 08'!B24</f>
        <v>319.22377799999998</v>
      </c>
      <c r="C88" s="5">
        <v>16663.16</v>
      </c>
      <c r="D88" s="75">
        <f t="shared" si="2"/>
        <v>1.9157457409038863E-6</v>
      </c>
      <c r="E88" s="1"/>
    </row>
    <row r="89" spans="1:10" x14ac:dyDescent="0.25">
      <c r="A89" s="10">
        <v>2014</v>
      </c>
      <c r="B89" s="93">
        <f>'Import 08'!B25</f>
        <v>370.25603999999998</v>
      </c>
      <c r="C89" s="5">
        <v>17348.071499999998</v>
      </c>
      <c r="D89" s="75">
        <f t="shared" si="2"/>
        <v>2.1342778071902691E-6</v>
      </c>
      <c r="E89" s="1"/>
    </row>
    <row r="90" spans="1:10" x14ac:dyDescent="0.25">
      <c r="A90" s="11">
        <v>2015</v>
      </c>
      <c r="B90" s="93">
        <f>'Import 08'!B26</f>
        <v>470.23585700000001</v>
      </c>
      <c r="C90" s="5">
        <v>17946.995999999999</v>
      </c>
      <c r="D90" s="75">
        <f t="shared" si="2"/>
        <v>2.620136857443998E-6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60" x14ac:dyDescent="0.25">
      <c r="A95" s="12" t="s">
        <v>3</v>
      </c>
      <c r="B95" s="13" t="s">
        <v>156</v>
      </c>
      <c r="C95" s="13" t="s">
        <v>7</v>
      </c>
      <c r="D95" s="14" t="s">
        <v>43</v>
      </c>
    </row>
    <row r="96" spans="1:10" x14ac:dyDescent="0.25">
      <c r="A96" s="10">
        <v>1991</v>
      </c>
      <c r="B96" s="2" t="str">
        <f t="shared" ref="B96:B120" si="3">B7</f>
        <v>n.d</v>
      </c>
      <c r="C96" s="5">
        <v>6174.0429999999997</v>
      </c>
      <c r="D96" s="19" t="e">
        <f t="shared" ref="D96:D120" si="4">(B96/C96)/10000</f>
        <v>#VALUE!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 t="str">
        <f t="shared" si="3"/>
        <v>n.d</v>
      </c>
      <c r="C97" s="5">
        <v>6539.299</v>
      </c>
      <c r="D97" s="19" t="e">
        <f t="shared" si="4"/>
        <v>#VALUE!</v>
      </c>
    </row>
    <row r="98" spans="1:4" x14ac:dyDescent="0.25">
      <c r="A98" s="10">
        <v>1993</v>
      </c>
      <c r="B98" s="2">
        <f t="shared" si="3"/>
        <v>0.752</v>
      </c>
      <c r="C98" s="5">
        <v>6878.7179999999998</v>
      </c>
      <c r="D98" s="19">
        <f t="shared" si="4"/>
        <v>1.0932269646756852E-8</v>
      </c>
    </row>
    <row r="99" spans="1:4" x14ac:dyDescent="0.25">
      <c r="A99" s="10">
        <v>1994</v>
      </c>
      <c r="B99" s="2">
        <f t="shared" si="3"/>
        <v>13.845000000000001</v>
      </c>
      <c r="C99" s="5">
        <v>7308.7550000000001</v>
      </c>
      <c r="D99" s="19">
        <f t="shared" si="4"/>
        <v>1.8943034757629719E-7</v>
      </c>
    </row>
    <row r="100" spans="1:4" x14ac:dyDescent="0.25">
      <c r="A100" s="10">
        <v>1995</v>
      </c>
      <c r="B100" s="2" t="str">
        <f t="shared" si="3"/>
        <v>n.d</v>
      </c>
      <c r="C100" s="5">
        <v>7664.06</v>
      </c>
      <c r="D100" s="19" t="e">
        <f t="shared" si="4"/>
        <v>#VALUE!</v>
      </c>
    </row>
    <row r="101" spans="1:4" x14ac:dyDescent="0.25">
      <c r="A101" s="10">
        <v>1996</v>
      </c>
      <c r="B101" s="2">
        <f t="shared" si="3"/>
        <v>14.885</v>
      </c>
      <c r="C101" s="5">
        <v>8100.201</v>
      </c>
      <c r="D101" s="19">
        <f t="shared" si="4"/>
        <v>1.837608721067539E-7</v>
      </c>
    </row>
    <row r="102" spans="1:4" x14ac:dyDescent="0.25">
      <c r="A102" s="10">
        <v>1997</v>
      </c>
      <c r="B102" s="2">
        <f t="shared" si="3"/>
        <v>4.58</v>
      </c>
      <c r="C102" s="5">
        <v>8608.5149999999994</v>
      </c>
      <c r="D102" s="19">
        <f t="shared" si="4"/>
        <v>5.3203136661781972E-8</v>
      </c>
    </row>
    <row r="103" spans="1:4" x14ac:dyDescent="0.25">
      <c r="A103" s="10">
        <v>1998</v>
      </c>
      <c r="B103" s="2">
        <f t="shared" si="3"/>
        <v>12.704000000000001</v>
      </c>
      <c r="C103" s="5">
        <v>9089.1679999999997</v>
      </c>
      <c r="D103" s="19">
        <f t="shared" si="4"/>
        <v>1.3977076889765931E-7</v>
      </c>
    </row>
    <row r="104" spans="1:4" x14ac:dyDescent="0.25">
      <c r="A104" s="10">
        <v>1999</v>
      </c>
      <c r="B104" s="2" t="str">
        <f t="shared" si="3"/>
        <v>n.d</v>
      </c>
      <c r="C104" s="5">
        <v>9660.6239999999998</v>
      </c>
      <c r="D104" s="19" t="e">
        <f t="shared" si="4"/>
        <v>#VALUE!</v>
      </c>
    </row>
    <row r="105" spans="1:4" x14ac:dyDescent="0.25">
      <c r="A105" s="10">
        <v>2000</v>
      </c>
      <c r="B105" s="2" t="str">
        <f t="shared" si="3"/>
        <v>n.d</v>
      </c>
      <c r="C105" s="5">
        <v>10284.779</v>
      </c>
      <c r="D105" s="19" t="e">
        <f t="shared" si="4"/>
        <v>#VALUE!</v>
      </c>
    </row>
    <row r="106" spans="1:4" x14ac:dyDescent="0.25">
      <c r="A106" s="10">
        <v>2001</v>
      </c>
      <c r="B106" s="2" t="str">
        <f t="shared" si="3"/>
        <v>n.d</v>
      </c>
      <c r="C106" s="5">
        <v>10621.824000000001</v>
      </c>
      <c r="D106" s="19" t="e">
        <f t="shared" si="4"/>
        <v>#VALUE!</v>
      </c>
    </row>
    <row r="107" spans="1:4" x14ac:dyDescent="0.25">
      <c r="A107" s="10">
        <v>2002</v>
      </c>
      <c r="B107" s="2">
        <f t="shared" si="3"/>
        <v>71.614000000000004</v>
      </c>
      <c r="C107" s="5">
        <v>10977.513999999999</v>
      </c>
      <c r="D107" s="19">
        <f t="shared" si="4"/>
        <v>6.5236992637859552E-7</v>
      </c>
    </row>
    <row r="108" spans="1:4" x14ac:dyDescent="0.25">
      <c r="A108" s="10">
        <v>2003</v>
      </c>
      <c r="B108" s="2">
        <f t="shared" si="3"/>
        <v>56.762</v>
      </c>
      <c r="C108" s="5">
        <v>11510.67</v>
      </c>
      <c r="D108" s="19">
        <f t="shared" si="4"/>
        <v>4.9312507438750306E-7</v>
      </c>
    </row>
    <row r="109" spans="1:4" x14ac:dyDescent="0.25">
      <c r="A109" s="10">
        <v>2004</v>
      </c>
      <c r="B109" s="2">
        <f t="shared" si="3"/>
        <v>113.514</v>
      </c>
      <c r="C109" s="5">
        <v>12274.928</v>
      </c>
      <c r="D109" s="19">
        <f t="shared" si="4"/>
        <v>9.2476306174667581E-7</v>
      </c>
    </row>
    <row r="110" spans="1:4" x14ac:dyDescent="0.25">
      <c r="A110" s="10">
        <v>2005</v>
      </c>
      <c r="B110" s="2">
        <f t="shared" si="3"/>
        <v>216.98099999999999</v>
      </c>
      <c r="C110" s="5">
        <v>13093.726000000001</v>
      </c>
      <c r="D110" s="19">
        <f t="shared" si="4"/>
        <v>1.657137166303923E-6</v>
      </c>
    </row>
    <row r="111" spans="1:4" x14ac:dyDescent="0.25">
      <c r="A111" s="10">
        <v>2006</v>
      </c>
      <c r="B111" s="2">
        <f t="shared" si="3"/>
        <v>418.16500000000002</v>
      </c>
      <c r="C111" s="5">
        <v>13855.888000000001</v>
      </c>
      <c r="D111" s="19">
        <f t="shared" si="4"/>
        <v>3.0179588634088265E-6</v>
      </c>
    </row>
    <row r="112" spans="1:4" x14ac:dyDescent="0.25">
      <c r="A112" s="10">
        <v>2007</v>
      </c>
      <c r="B112" s="2">
        <f t="shared" si="3"/>
        <v>407.47699999999998</v>
      </c>
      <c r="C112" s="5">
        <v>14477.635</v>
      </c>
      <c r="D112" s="19">
        <f t="shared" si="4"/>
        <v>2.8145273727373287E-6</v>
      </c>
    </row>
    <row r="113" spans="1:10" x14ac:dyDescent="0.25">
      <c r="A113" s="10">
        <v>2008</v>
      </c>
      <c r="B113" s="2">
        <f t="shared" si="3"/>
        <v>811.77499999999998</v>
      </c>
      <c r="C113" s="5">
        <v>14718.582</v>
      </c>
      <c r="D113" s="19">
        <f t="shared" si="4"/>
        <v>5.5153071131444592E-6</v>
      </c>
    </row>
    <row r="114" spans="1:10" x14ac:dyDescent="0.25">
      <c r="A114" s="10">
        <v>2009</v>
      </c>
      <c r="B114" s="2">
        <f t="shared" si="3"/>
        <v>300.98</v>
      </c>
      <c r="C114" s="5">
        <v>14418.739</v>
      </c>
      <c r="D114" s="19">
        <f t="shared" si="4"/>
        <v>2.0874224854198419E-6</v>
      </c>
    </row>
    <row r="115" spans="1:10" x14ac:dyDescent="0.25">
      <c r="A115" s="10">
        <v>2010</v>
      </c>
      <c r="B115" s="2">
        <f t="shared" si="3"/>
        <v>621.55600000000004</v>
      </c>
      <c r="C115" s="5">
        <v>14964.371999999999</v>
      </c>
      <c r="D115" s="19">
        <f t="shared" si="4"/>
        <v>4.1535722314307612E-6</v>
      </c>
    </row>
    <row r="116" spans="1:10" x14ac:dyDescent="0.25">
      <c r="A116" s="10">
        <v>2011</v>
      </c>
      <c r="B116" s="2">
        <f t="shared" si="3"/>
        <v>607.07799999999997</v>
      </c>
      <c r="C116" s="5">
        <v>15517.925999999999</v>
      </c>
      <c r="D116" s="19">
        <f t="shared" si="4"/>
        <v>3.9121078422464439E-6</v>
      </c>
    </row>
    <row r="117" spans="1:10" x14ac:dyDescent="0.25">
      <c r="A117" s="10">
        <v>2012</v>
      </c>
      <c r="B117" s="2">
        <f t="shared" si="3"/>
        <v>342.78100000000001</v>
      </c>
      <c r="C117" s="5">
        <v>16155.254999999999</v>
      </c>
      <c r="D117" s="19">
        <f t="shared" si="4"/>
        <v>2.1217925684243304E-6</v>
      </c>
    </row>
    <row r="118" spans="1:10" x14ac:dyDescent="0.25">
      <c r="A118" s="10">
        <v>2013</v>
      </c>
      <c r="B118" s="2">
        <f t="shared" si="3"/>
        <v>876.74400000000003</v>
      </c>
      <c r="C118" s="5">
        <v>16663.16</v>
      </c>
      <c r="D118" s="19">
        <f t="shared" si="4"/>
        <v>5.2615710345456691E-6</v>
      </c>
    </row>
    <row r="119" spans="1:10" x14ac:dyDescent="0.25">
      <c r="A119" s="10">
        <v>2014</v>
      </c>
      <c r="B119" s="2">
        <f t="shared" si="3"/>
        <v>233.03800000000001</v>
      </c>
      <c r="C119" s="5">
        <v>17348.071499999998</v>
      </c>
      <c r="D119" s="19">
        <f t="shared" si="4"/>
        <v>1.343307813782068E-6</v>
      </c>
    </row>
    <row r="120" spans="1:10" x14ac:dyDescent="0.25">
      <c r="A120" s="11">
        <v>2015</v>
      </c>
      <c r="B120" s="2">
        <f t="shared" si="3"/>
        <v>1012.679</v>
      </c>
      <c r="C120" s="5">
        <v>17946.995999999999</v>
      </c>
      <c r="D120" s="19">
        <f t="shared" si="4"/>
        <v>5.6426100501721855E-6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147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3" t="e">
        <f t="shared" ref="B125:B149" si="5">(B7/1000)+B36</f>
        <v>#VALUE!</v>
      </c>
      <c r="C125" s="5">
        <v>41239.551378248201</v>
      </c>
      <c r="D125" s="63" t="e">
        <f t="shared" ref="D125:D149" si="6">(B125/C125)/100</f>
        <v>#VALUE!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3" t="e">
        <f t="shared" si="5"/>
        <v>#VALUE!</v>
      </c>
      <c r="C126" s="5">
        <v>49279.585355094838</v>
      </c>
      <c r="D126" s="63" t="e">
        <f t="shared" si="6"/>
        <v>#VALUE!</v>
      </c>
      <c r="I126" s="42"/>
    </row>
    <row r="127" spans="1:10" x14ac:dyDescent="0.25">
      <c r="A127" s="10">
        <v>1993</v>
      </c>
      <c r="B127" s="3">
        <f t="shared" si="5"/>
        <v>28.761523999999998</v>
      </c>
      <c r="C127" s="5">
        <v>55802.540100979531</v>
      </c>
      <c r="D127" s="63">
        <f t="shared" si="6"/>
        <v>5.1541603568499801E-6</v>
      </c>
    </row>
    <row r="128" spans="1:10" x14ac:dyDescent="0.25">
      <c r="A128" s="10">
        <v>1994</v>
      </c>
      <c r="B128" s="3">
        <f t="shared" si="5"/>
        <v>53.290269000000002</v>
      </c>
      <c r="C128" s="5">
        <v>81703.496603993364</v>
      </c>
      <c r="D128" s="63">
        <f t="shared" si="6"/>
        <v>6.5223975980234082E-6</v>
      </c>
    </row>
    <row r="129" spans="1:4" x14ac:dyDescent="0.25">
      <c r="A129" s="10">
        <v>1995</v>
      </c>
      <c r="B129" s="3" t="e">
        <f t="shared" si="5"/>
        <v>#VALUE!</v>
      </c>
      <c r="C129" s="5">
        <v>92507.277798198498</v>
      </c>
      <c r="D129" s="63" t="e">
        <f t="shared" si="6"/>
        <v>#VALUE!</v>
      </c>
    </row>
    <row r="130" spans="1:4" x14ac:dyDescent="0.25">
      <c r="A130" s="10">
        <v>1996</v>
      </c>
      <c r="B130" s="3">
        <f t="shared" si="5"/>
        <v>93.823773000000003</v>
      </c>
      <c r="C130" s="5">
        <v>97160.111573336981</v>
      </c>
      <c r="D130" s="63">
        <f t="shared" si="6"/>
        <v>9.6566143740151329E-6</v>
      </c>
    </row>
    <row r="131" spans="1:4" x14ac:dyDescent="0.25">
      <c r="A131" s="10">
        <v>1997</v>
      </c>
      <c r="B131" s="3">
        <f t="shared" si="5"/>
        <v>85.499276000000009</v>
      </c>
      <c r="C131" s="5">
        <v>106659.5079635281</v>
      </c>
      <c r="D131" s="63">
        <f t="shared" si="6"/>
        <v>8.0160951079238262E-6</v>
      </c>
    </row>
    <row r="132" spans="1:4" x14ac:dyDescent="0.25">
      <c r="A132" s="10">
        <v>1998</v>
      </c>
      <c r="B132" s="3">
        <f t="shared" si="5"/>
        <v>73.790592000000004</v>
      </c>
      <c r="C132" s="5">
        <v>98443.743190849113</v>
      </c>
      <c r="D132" s="63">
        <f t="shared" si="6"/>
        <v>7.4957117241006375E-6</v>
      </c>
    </row>
    <row r="133" spans="1:4" x14ac:dyDescent="0.25">
      <c r="A133" s="10">
        <v>1999</v>
      </c>
      <c r="B133" s="3" t="e">
        <f t="shared" si="5"/>
        <v>#VALUE!</v>
      </c>
      <c r="C133" s="5">
        <v>86186.156584381664</v>
      </c>
      <c r="D133" s="63" t="e">
        <f t="shared" si="6"/>
        <v>#VALUE!</v>
      </c>
    </row>
    <row r="134" spans="1:4" x14ac:dyDescent="0.25">
      <c r="A134" s="10">
        <v>2000</v>
      </c>
      <c r="B134" s="3" t="e">
        <f t="shared" si="5"/>
        <v>#VALUE!</v>
      </c>
      <c r="C134" s="5">
        <v>99886.577575544405</v>
      </c>
      <c r="D134" s="63" t="e">
        <f t="shared" si="6"/>
        <v>#VALUE!</v>
      </c>
    </row>
    <row r="135" spans="1:4" x14ac:dyDescent="0.25">
      <c r="A135" s="10">
        <v>2001</v>
      </c>
      <c r="B135" s="3" t="e">
        <f t="shared" si="5"/>
        <v>#VALUE!</v>
      </c>
      <c r="C135" s="5">
        <v>98203.544965267793</v>
      </c>
      <c r="D135" s="63" t="e">
        <f t="shared" si="6"/>
        <v>#VALUE!</v>
      </c>
    </row>
    <row r="136" spans="1:4" x14ac:dyDescent="0.25">
      <c r="A136" s="10">
        <v>2002</v>
      </c>
      <c r="B136" s="3">
        <f t="shared" si="5"/>
        <v>32.943293999999995</v>
      </c>
      <c r="C136" s="5">
        <v>97933.392356425305</v>
      </c>
      <c r="D136" s="63">
        <f t="shared" si="6"/>
        <v>3.3638469175155268E-6</v>
      </c>
    </row>
    <row r="137" spans="1:4" x14ac:dyDescent="0.25">
      <c r="A137" s="10">
        <v>2003</v>
      </c>
      <c r="B137" s="3">
        <f t="shared" si="5"/>
        <v>40.244766999999996</v>
      </c>
      <c r="C137" s="5">
        <v>94684.582573316715</v>
      </c>
      <c r="D137" s="63">
        <f t="shared" si="6"/>
        <v>4.2504033820751579E-6</v>
      </c>
    </row>
    <row r="138" spans="1:4" x14ac:dyDescent="0.25">
      <c r="A138" s="10">
        <v>2004</v>
      </c>
      <c r="B138" s="3">
        <f t="shared" si="5"/>
        <v>64.318968999999996</v>
      </c>
      <c r="C138" s="5">
        <v>117074.86551527939</v>
      </c>
      <c r="D138" s="63">
        <f t="shared" si="6"/>
        <v>5.4938324051805768E-6</v>
      </c>
    </row>
    <row r="139" spans="1:4" x14ac:dyDescent="0.25">
      <c r="A139" s="10">
        <v>2005</v>
      </c>
      <c r="B139" s="3">
        <f t="shared" si="5"/>
        <v>91.868800000000007</v>
      </c>
      <c r="C139" s="5">
        <v>146566.26631057015</v>
      </c>
      <c r="D139" s="63">
        <f t="shared" si="6"/>
        <v>6.2680726140169518E-6</v>
      </c>
    </row>
    <row r="140" spans="1:4" x14ac:dyDescent="0.25">
      <c r="A140" s="10">
        <v>2006</v>
      </c>
      <c r="B140" s="3">
        <f t="shared" si="5"/>
        <v>135.522718</v>
      </c>
      <c r="C140" s="5">
        <v>162590.1460964143</v>
      </c>
      <c r="D140" s="63">
        <f t="shared" si="6"/>
        <v>8.3352356371976211E-6</v>
      </c>
    </row>
    <row r="141" spans="1:4" x14ac:dyDescent="0.25">
      <c r="A141" s="10">
        <v>2007</v>
      </c>
      <c r="B141" s="3">
        <f t="shared" si="5"/>
        <v>168.819749</v>
      </c>
      <c r="C141" s="5">
        <v>207416.49464237894</v>
      </c>
      <c r="D141" s="63">
        <f t="shared" si="6"/>
        <v>8.1391670074780588E-6</v>
      </c>
    </row>
    <row r="142" spans="1:4" x14ac:dyDescent="0.25">
      <c r="A142" s="10">
        <v>2008</v>
      </c>
      <c r="B142" s="3">
        <f t="shared" si="5"/>
        <v>258.10175700000002</v>
      </c>
      <c r="C142" s="5">
        <v>243982.43787084011</v>
      </c>
      <c r="D142" s="63">
        <f t="shared" si="6"/>
        <v>1.0578702272687119E-5</v>
      </c>
    </row>
    <row r="143" spans="1:4" x14ac:dyDescent="0.25">
      <c r="A143" s="10">
        <v>2009</v>
      </c>
      <c r="B143" s="3">
        <f t="shared" si="5"/>
        <v>112.949793</v>
      </c>
      <c r="C143" s="5">
        <v>233821.6705442575</v>
      </c>
      <c r="D143" s="63">
        <f t="shared" si="6"/>
        <v>4.8305955875300691E-6</v>
      </c>
    </row>
    <row r="144" spans="1:4" x14ac:dyDescent="0.25">
      <c r="A144" s="10">
        <v>2010</v>
      </c>
      <c r="B144" s="3">
        <f t="shared" si="5"/>
        <v>98.167418999999995</v>
      </c>
      <c r="C144" s="5">
        <v>287018.18463752925</v>
      </c>
      <c r="D144" s="63">
        <f t="shared" si="6"/>
        <v>3.4202508500976717E-6</v>
      </c>
    </row>
    <row r="145" spans="1:10" x14ac:dyDescent="0.25">
      <c r="A145" s="10">
        <v>2011</v>
      </c>
      <c r="B145" s="3">
        <f t="shared" si="5"/>
        <v>148.172009</v>
      </c>
      <c r="C145" s="5">
        <v>335415.15670218616</v>
      </c>
      <c r="D145" s="63">
        <f t="shared" si="6"/>
        <v>4.4175704657127754E-6</v>
      </c>
    </row>
    <row r="146" spans="1:10" x14ac:dyDescent="0.25">
      <c r="A146" s="10">
        <v>2012</v>
      </c>
      <c r="B146" s="3">
        <f t="shared" si="5"/>
        <v>214.688852</v>
      </c>
      <c r="C146" s="5">
        <v>369659.70037551981</v>
      </c>
      <c r="D146" s="63">
        <f t="shared" si="6"/>
        <v>5.8077429533678611E-6</v>
      </c>
    </row>
    <row r="147" spans="1:10" x14ac:dyDescent="0.25">
      <c r="A147" s="10">
        <v>2013</v>
      </c>
      <c r="B147" s="3">
        <f t="shared" si="5"/>
        <v>320.10052199999996</v>
      </c>
      <c r="C147" s="5">
        <v>380191.88186037214</v>
      </c>
      <c r="D147" s="63">
        <f t="shared" si="6"/>
        <v>8.4194465287809309E-6</v>
      </c>
    </row>
    <row r="148" spans="1:10" x14ac:dyDescent="0.25">
      <c r="A148" s="10">
        <v>2014</v>
      </c>
      <c r="B148" s="3">
        <f t="shared" si="5"/>
        <v>370.48907800000001</v>
      </c>
      <c r="C148" s="5">
        <v>378416.02053371473</v>
      </c>
      <c r="D148" s="63">
        <f t="shared" si="6"/>
        <v>9.7905230723970242E-6</v>
      </c>
    </row>
    <row r="149" spans="1:10" x14ac:dyDescent="0.25">
      <c r="A149" s="11">
        <v>2015</v>
      </c>
      <c r="B149" s="3">
        <f t="shared" si="5"/>
        <v>471.248536</v>
      </c>
      <c r="C149" s="6">
        <v>292080.15563330991</v>
      </c>
      <c r="D149" s="63">
        <f t="shared" si="6"/>
        <v>1.6134219559634371E-5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45" x14ac:dyDescent="0.25">
      <c r="A153" s="12" t="s">
        <v>3</v>
      </c>
      <c r="B153" s="13" t="s">
        <v>148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80" t="e">
        <f t="shared" ref="B154:B178" si="7">B125</f>
        <v>#VALUE!</v>
      </c>
      <c r="C154" s="5">
        <v>6174.0429999999997</v>
      </c>
      <c r="D154" s="19" t="e">
        <f t="shared" ref="D154:D178" si="8">(B154/C154)/10000</f>
        <v>#VALUE!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80" t="e">
        <f t="shared" si="7"/>
        <v>#VALUE!</v>
      </c>
      <c r="C155" s="5">
        <v>6539.299</v>
      </c>
      <c r="D155" s="19" t="e">
        <f t="shared" si="8"/>
        <v>#VALUE!</v>
      </c>
    </row>
    <row r="156" spans="1:10" x14ac:dyDescent="0.25">
      <c r="A156" s="10">
        <v>1993</v>
      </c>
      <c r="B156" s="80">
        <f t="shared" si="7"/>
        <v>28.761523999999998</v>
      </c>
      <c r="C156" s="5">
        <v>6878.7179999999998</v>
      </c>
      <c r="D156" s="19">
        <f t="shared" si="8"/>
        <v>4.1812331890913392E-7</v>
      </c>
    </row>
    <row r="157" spans="1:10" x14ac:dyDescent="0.25">
      <c r="A157" s="10">
        <v>1994</v>
      </c>
      <c r="B157" s="80">
        <f t="shared" si="7"/>
        <v>53.290269000000002</v>
      </c>
      <c r="C157" s="5">
        <v>7308.7550000000001</v>
      </c>
      <c r="D157" s="19">
        <f t="shared" si="8"/>
        <v>7.2912922925997662E-7</v>
      </c>
    </row>
    <row r="158" spans="1:10" x14ac:dyDescent="0.25">
      <c r="A158" s="10">
        <v>1995</v>
      </c>
      <c r="B158" s="80" t="e">
        <f t="shared" si="7"/>
        <v>#VALUE!</v>
      </c>
      <c r="C158" s="5">
        <v>7664.06</v>
      </c>
      <c r="D158" s="19" t="e">
        <f t="shared" si="8"/>
        <v>#VALUE!</v>
      </c>
    </row>
    <row r="159" spans="1:10" x14ac:dyDescent="0.25">
      <c r="A159" s="10">
        <v>1996</v>
      </c>
      <c r="B159" s="80">
        <f t="shared" si="7"/>
        <v>93.823773000000003</v>
      </c>
      <c r="C159" s="5">
        <v>8100.201</v>
      </c>
      <c r="D159" s="19">
        <f t="shared" si="8"/>
        <v>1.1582894424471688E-6</v>
      </c>
    </row>
    <row r="160" spans="1:10" x14ac:dyDescent="0.25">
      <c r="A160" s="10">
        <v>1997</v>
      </c>
      <c r="B160" s="80">
        <f t="shared" si="7"/>
        <v>85.499276000000009</v>
      </c>
      <c r="C160" s="5">
        <v>8608.5149999999994</v>
      </c>
      <c r="D160" s="19">
        <f t="shared" si="8"/>
        <v>9.9319425011166284E-7</v>
      </c>
    </row>
    <row r="161" spans="1:4" x14ac:dyDescent="0.25">
      <c r="A161" s="10">
        <v>1998</v>
      </c>
      <c r="B161" s="80">
        <f t="shared" si="7"/>
        <v>73.790592000000004</v>
      </c>
      <c r="C161" s="5">
        <v>9089.1679999999997</v>
      </c>
      <c r="D161" s="19">
        <f t="shared" si="8"/>
        <v>8.1185199789463678E-7</v>
      </c>
    </row>
    <row r="162" spans="1:4" x14ac:dyDescent="0.25">
      <c r="A162" s="10">
        <v>1999</v>
      </c>
      <c r="B162" s="80" t="e">
        <f t="shared" si="7"/>
        <v>#VALUE!</v>
      </c>
      <c r="C162" s="5">
        <v>9660.6239999999998</v>
      </c>
      <c r="D162" s="19" t="e">
        <f t="shared" si="8"/>
        <v>#VALUE!</v>
      </c>
    </row>
    <row r="163" spans="1:4" x14ac:dyDescent="0.25">
      <c r="A163" s="10">
        <v>2000</v>
      </c>
      <c r="B163" s="80" t="e">
        <f t="shared" si="7"/>
        <v>#VALUE!</v>
      </c>
      <c r="C163" s="5">
        <v>10284.779</v>
      </c>
      <c r="D163" s="19" t="e">
        <f t="shared" si="8"/>
        <v>#VALUE!</v>
      </c>
    </row>
    <row r="164" spans="1:4" x14ac:dyDescent="0.25">
      <c r="A164" s="10">
        <v>2001</v>
      </c>
      <c r="B164" s="80" t="e">
        <f t="shared" si="7"/>
        <v>#VALUE!</v>
      </c>
      <c r="C164" s="5">
        <v>10621.824000000001</v>
      </c>
      <c r="D164" s="19" t="e">
        <f t="shared" si="8"/>
        <v>#VALUE!</v>
      </c>
    </row>
    <row r="165" spans="1:4" x14ac:dyDescent="0.25">
      <c r="A165" s="10">
        <v>2002</v>
      </c>
      <c r="B165" s="80">
        <f t="shared" si="7"/>
        <v>32.943293999999995</v>
      </c>
      <c r="C165" s="5">
        <v>10977.513999999999</v>
      </c>
      <c r="D165" s="19">
        <f t="shared" si="8"/>
        <v>3.0009794567330999E-7</v>
      </c>
    </row>
    <row r="166" spans="1:4" x14ac:dyDescent="0.25">
      <c r="A166" s="10">
        <v>2003</v>
      </c>
      <c r="B166" s="80">
        <f t="shared" si="7"/>
        <v>40.244766999999996</v>
      </c>
      <c r="C166" s="5">
        <v>11510.67</v>
      </c>
      <c r="D166" s="19">
        <f t="shared" si="8"/>
        <v>3.4963009972486393E-7</v>
      </c>
    </row>
    <row r="167" spans="1:4" x14ac:dyDescent="0.25">
      <c r="A167" s="10">
        <v>2004</v>
      </c>
      <c r="B167" s="80">
        <f t="shared" si="7"/>
        <v>64.318968999999996</v>
      </c>
      <c r="C167" s="5">
        <v>12274.928</v>
      </c>
      <c r="D167" s="19">
        <f t="shared" si="8"/>
        <v>5.2398652766028433E-7</v>
      </c>
    </row>
    <row r="168" spans="1:4" x14ac:dyDescent="0.25">
      <c r="A168" s="10">
        <v>2005</v>
      </c>
      <c r="B168" s="80">
        <f t="shared" si="7"/>
        <v>91.868800000000007</v>
      </c>
      <c r="C168" s="5">
        <v>13093.726000000001</v>
      </c>
      <c r="D168" s="19">
        <f t="shared" si="8"/>
        <v>7.0162457958872823E-7</v>
      </c>
    </row>
    <row r="169" spans="1:4" x14ac:dyDescent="0.25">
      <c r="A169" s="10">
        <v>2006</v>
      </c>
      <c r="B169" s="80">
        <f t="shared" si="7"/>
        <v>135.522718</v>
      </c>
      <c r="C169" s="5">
        <v>13855.888000000001</v>
      </c>
      <c r="D169" s="19">
        <f t="shared" si="8"/>
        <v>9.7808756825978967E-7</v>
      </c>
    </row>
    <row r="170" spans="1:4" x14ac:dyDescent="0.25">
      <c r="A170" s="10">
        <v>2007</v>
      </c>
      <c r="B170" s="80">
        <f t="shared" si="7"/>
        <v>168.819749</v>
      </c>
      <c r="C170" s="5">
        <v>14477.635</v>
      </c>
      <c r="D170" s="19">
        <f t="shared" si="8"/>
        <v>1.166072697647095E-6</v>
      </c>
    </row>
    <row r="171" spans="1:4" x14ac:dyDescent="0.25">
      <c r="A171" s="10">
        <v>2008</v>
      </c>
      <c r="B171" s="80">
        <f t="shared" si="7"/>
        <v>258.10175700000002</v>
      </c>
      <c r="C171" s="5">
        <v>14718.582</v>
      </c>
      <c r="D171" s="19">
        <f t="shared" si="8"/>
        <v>1.7535776000704415E-6</v>
      </c>
    </row>
    <row r="172" spans="1:4" x14ac:dyDescent="0.25">
      <c r="A172" s="10">
        <v>2009</v>
      </c>
      <c r="B172" s="80">
        <f t="shared" si="7"/>
        <v>112.949793</v>
      </c>
      <c r="C172" s="5">
        <v>14418.739</v>
      </c>
      <c r="D172" s="19">
        <f t="shared" si="8"/>
        <v>7.8335416848865909E-7</v>
      </c>
    </row>
    <row r="173" spans="1:4" x14ac:dyDescent="0.25">
      <c r="A173" s="10">
        <v>2010</v>
      </c>
      <c r="B173" s="80">
        <f t="shared" si="7"/>
        <v>98.167418999999995</v>
      </c>
      <c r="C173" s="5">
        <v>14964.371999999999</v>
      </c>
      <c r="D173" s="19">
        <f t="shared" si="8"/>
        <v>6.5600760927354645E-7</v>
      </c>
    </row>
    <row r="174" spans="1:4" x14ac:dyDescent="0.25">
      <c r="A174" s="10">
        <v>2011</v>
      </c>
      <c r="B174" s="80">
        <f t="shared" si="7"/>
        <v>148.172009</v>
      </c>
      <c r="C174" s="5">
        <v>15517.925999999999</v>
      </c>
      <c r="D174" s="19">
        <f t="shared" si="8"/>
        <v>9.54844152498214E-7</v>
      </c>
    </row>
    <row r="175" spans="1:4" x14ac:dyDescent="0.25">
      <c r="A175" s="10">
        <v>2012</v>
      </c>
      <c r="B175" s="80">
        <f t="shared" si="7"/>
        <v>214.688852</v>
      </c>
      <c r="C175" s="5">
        <v>16155.254999999999</v>
      </c>
      <c r="D175" s="19">
        <f t="shared" si="8"/>
        <v>1.3289103267017451E-6</v>
      </c>
    </row>
    <row r="176" spans="1:4" x14ac:dyDescent="0.25">
      <c r="A176" s="10">
        <v>2013</v>
      </c>
      <c r="B176" s="80">
        <f t="shared" si="7"/>
        <v>320.10052199999996</v>
      </c>
      <c r="C176" s="5">
        <v>16663.16</v>
      </c>
      <c r="D176" s="19">
        <f t="shared" si="8"/>
        <v>1.9210073119384315E-6</v>
      </c>
    </row>
    <row r="177" spans="1:10" x14ac:dyDescent="0.25">
      <c r="A177" s="10">
        <v>2014</v>
      </c>
      <c r="B177" s="80">
        <f t="shared" si="7"/>
        <v>370.48907800000001</v>
      </c>
      <c r="C177" s="5">
        <v>17348.071499999998</v>
      </c>
      <c r="D177" s="19">
        <f t="shared" si="8"/>
        <v>2.1356211150040509E-6</v>
      </c>
    </row>
    <row r="178" spans="1:10" x14ac:dyDescent="0.25">
      <c r="A178" s="11">
        <v>2015</v>
      </c>
      <c r="B178" s="80">
        <f t="shared" si="7"/>
        <v>471.248536</v>
      </c>
      <c r="C178" s="5">
        <v>17946.995999999999</v>
      </c>
      <c r="D178" s="19">
        <f t="shared" si="8"/>
        <v>2.6257794674941701E-6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75" x14ac:dyDescent="0.25">
      <c r="A183" s="12" t="s">
        <v>3</v>
      </c>
      <c r="B183" s="13" t="s">
        <v>149</v>
      </c>
      <c r="C183" s="13" t="s">
        <v>150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80" t="e">
        <f t="shared" ref="B184:B208" si="9">B154</f>
        <v>#VALUE!</v>
      </c>
      <c r="C184" s="80" t="e">
        <f>Tabla116192640138[[#This Row],[Balanza Comercial Absoluta Colombia 
(US$ millones)]]/2</f>
        <v>#VALUE!</v>
      </c>
      <c r="D184" s="5">
        <v>41239.551378248201</v>
      </c>
      <c r="E184" s="63" t="e">
        <f t="shared" ref="E184:E208" si="10">C184/(D184*100)</f>
        <v>#VALUE!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80" t="e">
        <f t="shared" si="9"/>
        <v>#VALUE!</v>
      </c>
      <c r="C185" s="80" t="e">
        <f>Tabla116192640138[[#This Row],[Balanza Comercial Absoluta Colombia 
(US$ millones)]]/2</f>
        <v>#VALUE!</v>
      </c>
      <c r="D185" s="5">
        <v>49279.585355094838</v>
      </c>
      <c r="E185" s="63" t="e">
        <f t="shared" si="10"/>
        <v>#VALUE!</v>
      </c>
    </row>
    <row r="186" spans="1:10" x14ac:dyDescent="0.25">
      <c r="A186" s="10">
        <v>1993</v>
      </c>
      <c r="B186" s="80">
        <f t="shared" si="9"/>
        <v>28.761523999999998</v>
      </c>
      <c r="C186" s="80">
        <f>Tabla116192640138[[#This Row],[Balanza Comercial Absoluta Colombia 
(US$ millones)]]/2</f>
        <v>14.380761999999999</v>
      </c>
      <c r="D186" s="5">
        <v>55802.540100979531</v>
      </c>
      <c r="E186" s="63">
        <f t="shared" si="10"/>
        <v>2.5770801784249896E-6</v>
      </c>
    </row>
    <row r="187" spans="1:10" x14ac:dyDescent="0.25">
      <c r="A187" s="10">
        <v>1994</v>
      </c>
      <c r="B187" s="80">
        <f t="shared" si="9"/>
        <v>53.290269000000002</v>
      </c>
      <c r="C187" s="80">
        <f>Tabla116192640138[[#This Row],[Balanza Comercial Absoluta Colombia 
(US$ millones)]]/2</f>
        <v>26.645134500000001</v>
      </c>
      <c r="D187" s="5">
        <v>81703.496603993364</v>
      </c>
      <c r="E187" s="63">
        <f t="shared" si="10"/>
        <v>3.2611987990117041E-6</v>
      </c>
    </row>
    <row r="188" spans="1:10" x14ac:dyDescent="0.25">
      <c r="A188" s="10">
        <v>1995</v>
      </c>
      <c r="B188" s="80" t="e">
        <f t="shared" si="9"/>
        <v>#VALUE!</v>
      </c>
      <c r="C188" s="80" t="e">
        <f>Tabla116192640138[[#This Row],[Balanza Comercial Absoluta Colombia 
(US$ millones)]]/2</f>
        <v>#VALUE!</v>
      </c>
      <c r="D188" s="5">
        <v>92507.277798198498</v>
      </c>
      <c r="E188" s="63" t="e">
        <f t="shared" si="10"/>
        <v>#VALUE!</v>
      </c>
    </row>
    <row r="189" spans="1:10" x14ac:dyDescent="0.25">
      <c r="A189" s="10">
        <v>1996</v>
      </c>
      <c r="B189" s="80">
        <f t="shared" si="9"/>
        <v>93.823773000000003</v>
      </c>
      <c r="C189" s="80">
        <f>Tabla116192640138[[#This Row],[Balanza Comercial Absoluta Colombia 
(US$ millones)]]/2</f>
        <v>46.911886500000001</v>
      </c>
      <c r="D189" s="5">
        <v>97160.111573336981</v>
      </c>
      <c r="E189" s="63">
        <f t="shared" si="10"/>
        <v>4.8283071870075665E-6</v>
      </c>
    </row>
    <row r="190" spans="1:10" x14ac:dyDescent="0.25">
      <c r="A190" s="10">
        <v>1997</v>
      </c>
      <c r="B190" s="80">
        <f t="shared" si="9"/>
        <v>85.499276000000009</v>
      </c>
      <c r="C190" s="80">
        <f>Tabla116192640138[[#This Row],[Balanza Comercial Absoluta Colombia 
(US$ millones)]]/2</f>
        <v>42.749638000000004</v>
      </c>
      <c r="D190" s="5">
        <v>106659.5079635281</v>
      </c>
      <c r="E190" s="63">
        <f t="shared" si="10"/>
        <v>4.0080475539619139E-6</v>
      </c>
    </row>
    <row r="191" spans="1:10" x14ac:dyDescent="0.25">
      <c r="A191" s="10">
        <v>1998</v>
      </c>
      <c r="B191" s="80">
        <f t="shared" si="9"/>
        <v>73.790592000000004</v>
      </c>
      <c r="C191" s="80">
        <f>Tabla116192640138[[#This Row],[Balanza Comercial Absoluta Colombia 
(US$ millones)]]/2</f>
        <v>36.895296000000002</v>
      </c>
      <c r="D191" s="5">
        <v>98443.743190849113</v>
      </c>
      <c r="E191" s="63">
        <f t="shared" si="10"/>
        <v>3.7478558620503192E-6</v>
      </c>
    </row>
    <row r="192" spans="1:10" x14ac:dyDescent="0.25">
      <c r="A192" s="10">
        <v>1999</v>
      </c>
      <c r="B192" s="80" t="e">
        <f t="shared" si="9"/>
        <v>#VALUE!</v>
      </c>
      <c r="C192" s="80" t="e">
        <f>Tabla116192640138[[#This Row],[Balanza Comercial Absoluta Colombia 
(US$ millones)]]/2</f>
        <v>#VALUE!</v>
      </c>
      <c r="D192" s="5">
        <v>86186.156584381664</v>
      </c>
      <c r="E192" s="63" t="e">
        <f t="shared" si="10"/>
        <v>#VALUE!</v>
      </c>
    </row>
    <row r="193" spans="1:5" x14ac:dyDescent="0.25">
      <c r="A193" s="10">
        <v>2000</v>
      </c>
      <c r="B193" s="80" t="e">
        <f t="shared" si="9"/>
        <v>#VALUE!</v>
      </c>
      <c r="C193" s="80" t="e">
        <f>Tabla116192640138[[#This Row],[Balanza Comercial Absoluta Colombia 
(US$ millones)]]/2</f>
        <v>#VALUE!</v>
      </c>
      <c r="D193" s="5">
        <v>99886.577575544405</v>
      </c>
      <c r="E193" s="63" t="e">
        <f t="shared" si="10"/>
        <v>#VALUE!</v>
      </c>
    </row>
    <row r="194" spans="1:5" x14ac:dyDescent="0.25">
      <c r="A194" s="10">
        <v>2001</v>
      </c>
      <c r="B194" s="80" t="e">
        <f t="shared" si="9"/>
        <v>#VALUE!</v>
      </c>
      <c r="C194" s="80" t="e">
        <f>Tabla116192640138[[#This Row],[Balanza Comercial Absoluta Colombia 
(US$ millones)]]/2</f>
        <v>#VALUE!</v>
      </c>
      <c r="D194" s="5">
        <v>98203.544965267793</v>
      </c>
      <c r="E194" s="63" t="e">
        <f t="shared" si="10"/>
        <v>#VALUE!</v>
      </c>
    </row>
    <row r="195" spans="1:5" x14ac:dyDescent="0.25">
      <c r="A195" s="10">
        <v>2002</v>
      </c>
      <c r="B195" s="80">
        <f t="shared" si="9"/>
        <v>32.943293999999995</v>
      </c>
      <c r="C195" s="80">
        <f>Tabla116192640138[[#This Row],[Balanza Comercial Absoluta Colombia 
(US$ millones)]]/2</f>
        <v>16.471646999999997</v>
      </c>
      <c r="D195" s="5">
        <v>97933.392356425305</v>
      </c>
      <c r="E195" s="63">
        <f t="shared" si="10"/>
        <v>1.6819234587577636E-6</v>
      </c>
    </row>
    <row r="196" spans="1:5" x14ac:dyDescent="0.25">
      <c r="A196" s="10">
        <v>2003</v>
      </c>
      <c r="B196" s="80">
        <f t="shared" si="9"/>
        <v>40.244766999999996</v>
      </c>
      <c r="C196" s="80">
        <f>Tabla116192640138[[#This Row],[Balanza Comercial Absoluta Colombia 
(US$ millones)]]/2</f>
        <v>20.122383499999998</v>
      </c>
      <c r="D196" s="5">
        <v>94684.582573316715</v>
      </c>
      <c r="E196" s="63">
        <f t="shared" si="10"/>
        <v>2.1252016910375793E-6</v>
      </c>
    </row>
    <row r="197" spans="1:5" x14ac:dyDescent="0.25">
      <c r="A197" s="10">
        <v>2004</v>
      </c>
      <c r="B197" s="80">
        <f t="shared" si="9"/>
        <v>64.318968999999996</v>
      </c>
      <c r="C197" s="80">
        <f>Tabla116192640138[[#This Row],[Balanza Comercial Absoluta Colombia 
(US$ millones)]]/2</f>
        <v>32.159484499999998</v>
      </c>
      <c r="D197" s="5">
        <v>117074.86551527939</v>
      </c>
      <c r="E197" s="63">
        <f t="shared" si="10"/>
        <v>2.7469162025902884E-6</v>
      </c>
    </row>
    <row r="198" spans="1:5" x14ac:dyDescent="0.25">
      <c r="A198" s="10">
        <v>2005</v>
      </c>
      <c r="B198" s="80">
        <f t="shared" si="9"/>
        <v>91.868800000000007</v>
      </c>
      <c r="C198" s="80">
        <f>Tabla116192640138[[#This Row],[Balanza Comercial Absoluta Colombia 
(US$ millones)]]/2</f>
        <v>45.934400000000004</v>
      </c>
      <c r="D198" s="5">
        <v>146566.26631057015</v>
      </c>
      <c r="E198" s="63">
        <f t="shared" si="10"/>
        <v>3.1340363070084759E-6</v>
      </c>
    </row>
    <row r="199" spans="1:5" x14ac:dyDescent="0.25">
      <c r="A199" s="10">
        <v>2006</v>
      </c>
      <c r="B199" s="80">
        <f t="shared" si="9"/>
        <v>135.522718</v>
      </c>
      <c r="C199" s="80">
        <f>Tabla116192640138[[#This Row],[Balanza Comercial Absoluta Colombia 
(US$ millones)]]/2</f>
        <v>67.761358999999999</v>
      </c>
      <c r="D199" s="5">
        <v>162590.1460964143</v>
      </c>
      <c r="E199" s="63">
        <f t="shared" si="10"/>
        <v>4.1676178185988097E-6</v>
      </c>
    </row>
    <row r="200" spans="1:5" x14ac:dyDescent="0.25">
      <c r="A200" s="10">
        <v>2007</v>
      </c>
      <c r="B200" s="80">
        <f t="shared" si="9"/>
        <v>168.819749</v>
      </c>
      <c r="C200" s="80">
        <f>Tabla116192640138[[#This Row],[Balanza Comercial Absoluta Colombia 
(US$ millones)]]/2</f>
        <v>84.409874500000001</v>
      </c>
      <c r="D200" s="5">
        <v>207416.49464237894</v>
      </c>
      <c r="E200" s="63">
        <f t="shared" si="10"/>
        <v>4.0695835037390286E-6</v>
      </c>
    </row>
    <row r="201" spans="1:5" x14ac:dyDescent="0.25">
      <c r="A201" s="10">
        <v>2008</v>
      </c>
      <c r="B201" s="80">
        <f t="shared" si="9"/>
        <v>258.10175700000002</v>
      </c>
      <c r="C201" s="80">
        <f>Tabla116192640138[[#This Row],[Balanza Comercial Absoluta Colombia 
(US$ millones)]]/2</f>
        <v>129.05087850000001</v>
      </c>
      <c r="D201" s="5">
        <v>243982.43787084011</v>
      </c>
      <c r="E201" s="63">
        <f t="shared" si="10"/>
        <v>5.2893511363435603E-6</v>
      </c>
    </row>
    <row r="202" spans="1:5" x14ac:dyDescent="0.25">
      <c r="A202" s="10">
        <v>2009</v>
      </c>
      <c r="B202" s="80">
        <f t="shared" si="9"/>
        <v>112.949793</v>
      </c>
      <c r="C202" s="80">
        <f>Tabla116192640138[[#This Row],[Balanza Comercial Absoluta Colombia 
(US$ millones)]]/2</f>
        <v>56.4748965</v>
      </c>
      <c r="D202" s="5">
        <v>233821.6705442575</v>
      </c>
      <c r="E202" s="63">
        <f t="shared" si="10"/>
        <v>2.415297793765035E-6</v>
      </c>
    </row>
    <row r="203" spans="1:5" x14ac:dyDescent="0.25">
      <c r="A203" s="10">
        <v>2010</v>
      </c>
      <c r="B203" s="80">
        <f t="shared" si="9"/>
        <v>98.167418999999995</v>
      </c>
      <c r="C203" s="80">
        <f>Tabla116192640138[[#This Row],[Balanza Comercial Absoluta Colombia 
(US$ millones)]]/2</f>
        <v>49.083709499999998</v>
      </c>
      <c r="D203" s="5">
        <v>287018.18463752925</v>
      </c>
      <c r="E203" s="63">
        <f t="shared" si="10"/>
        <v>1.7101254250488358E-6</v>
      </c>
    </row>
    <row r="204" spans="1:5" x14ac:dyDescent="0.25">
      <c r="A204" s="10">
        <v>2011</v>
      </c>
      <c r="B204" s="80">
        <f t="shared" si="9"/>
        <v>148.172009</v>
      </c>
      <c r="C204" s="80">
        <f>Tabla116192640138[[#This Row],[Balanza Comercial Absoluta Colombia 
(US$ millones)]]/2</f>
        <v>74.086004500000001</v>
      </c>
      <c r="D204" s="5">
        <v>335415.15670218616</v>
      </c>
      <c r="E204" s="63">
        <f t="shared" si="10"/>
        <v>2.2087852328563877E-6</v>
      </c>
    </row>
    <row r="205" spans="1:5" x14ac:dyDescent="0.25">
      <c r="A205" s="10">
        <v>2012</v>
      </c>
      <c r="B205" s="80">
        <f t="shared" si="9"/>
        <v>214.688852</v>
      </c>
      <c r="C205" s="80">
        <f>Tabla116192640138[[#This Row],[Balanza Comercial Absoluta Colombia 
(US$ millones)]]/2</f>
        <v>107.344426</v>
      </c>
      <c r="D205" s="5">
        <v>369659.70037551981</v>
      </c>
      <c r="E205" s="63">
        <f t="shared" si="10"/>
        <v>2.9038714766839301E-6</v>
      </c>
    </row>
    <row r="206" spans="1:5" x14ac:dyDescent="0.25">
      <c r="A206" s="10">
        <v>2013</v>
      </c>
      <c r="B206" s="80">
        <f t="shared" si="9"/>
        <v>320.10052199999996</v>
      </c>
      <c r="C206" s="80">
        <f>Tabla116192640138[[#This Row],[Balanza Comercial Absoluta Colombia 
(US$ millones)]]/2</f>
        <v>160.05026099999998</v>
      </c>
      <c r="D206" s="5">
        <v>380191.88186037214</v>
      </c>
      <c r="E206" s="63">
        <f t="shared" si="10"/>
        <v>4.2097232643904646E-6</v>
      </c>
    </row>
    <row r="207" spans="1:5" x14ac:dyDescent="0.25">
      <c r="A207" s="10">
        <v>2014</v>
      </c>
      <c r="B207" s="80">
        <f t="shared" si="9"/>
        <v>370.48907800000001</v>
      </c>
      <c r="C207" s="80">
        <f>Tabla116192640138[[#This Row],[Balanza Comercial Absoluta Colombia 
(US$ millones)]]/2</f>
        <v>185.244539</v>
      </c>
      <c r="D207" s="5">
        <v>378416.02053371473</v>
      </c>
      <c r="E207" s="63">
        <f t="shared" si="10"/>
        <v>4.8952615361985121E-6</v>
      </c>
    </row>
    <row r="208" spans="1:5" x14ac:dyDescent="0.25">
      <c r="A208" s="11">
        <v>2015</v>
      </c>
      <c r="B208" s="80">
        <f t="shared" si="9"/>
        <v>471.248536</v>
      </c>
      <c r="C208" s="85">
        <f>Tabla116192640138[[#This Row],[Balanza Comercial Absoluta Colombia 
(US$ millones)]]/2</f>
        <v>235.624268</v>
      </c>
      <c r="D208" s="6">
        <v>292080.15563330991</v>
      </c>
      <c r="E208" s="63">
        <f t="shared" si="10"/>
        <v>8.0671097798171854E-6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60" x14ac:dyDescent="0.25">
      <c r="A212" s="28" t="s">
        <v>3</v>
      </c>
      <c r="B212" s="29" t="s">
        <v>148</v>
      </c>
      <c r="C212" s="29" t="s">
        <v>151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80" t="e">
        <f t="shared" ref="B213:B237" si="11">B125</f>
        <v>#VALUE!</v>
      </c>
      <c r="C213" s="80" t="e">
        <f>Tabla11617212741139[[#This Row],[Balanza Comercial Absoluta USA
(US$ millones)]]/2</f>
        <v>#VALUE!</v>
      </c>
      <c r="D213" s="5">
        <v>6174.0429999999997</v>
      </c>
      <c r="E213" s="43" t="e">
        <f t="shared" ref="E213:E237" si="12">(C213/D213)/10000</f>
        <v>#VALUE!</v>
      </c>
    </row>
    <row r="214" spans="1:10" x14ac:dyDescent="0.25">
      <c r="A214" s="31">
        <v>1992</v>
      </c>
      <c r="B214" s="80" t="e">
        <f t="shared" si="11"/>
        <v>#VALUE!</v>
      </c>
      <c r="C214" s="80" t="e">
        <f>Tabla11617212741139[[#This Row],[Balanza Comercial Absoluta USA
(US$ millones)]]/2</f>
        <v>#VALUE!</v>
      </c>
      <c r="D214" s="5">
        <v>6539.299</v>
      </c>
      <c r="E214" s="43" t="e">
        <f t="shared" si="12"/>
        <v>#VALUE!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80">
        <f t="shared" si="11"/>
        <v>28.761523999999998</v>
      </c>
      <c r="C215" s="80">
        <f>Tabla11617212741139[[#This Row],[Balanza Comercial Absoluta USA
(US$ millones)]]/2</f>
        <v>14.380761999999999</v>
      </c>
      <c r="D215" s="5">
        <v>6878.7179999999998</v>
      </c>
      <c r="E215" s="43">
        <f t="shared" si="12"/>
        <v>2.0906165945456696E-7</v>
      </c>
    </row>
    <row r="216" spans="1:10" x14ac:dyDescent="0.25">
      <c r="A216" s="31">
        <v>1994</v>
      </c>
      <c r="B216" s="80">
        <f t="shared" si="11"/>
        <v>53.290269000000002</v>
      </c>
      <c r="C216" s="80">
        <f>Tabla11617212741139[[#This Row],[Balanza Comercial Absoluta USA
(US$ millones)]]/2</f>
        <v>26.645134500000001</v>
      </c>
      <c r="D216" s="5">
        <v>7308.7550000000001</v>
      </c>
      <c r="E216" s="43">
        <f t="shared" si="12"/>
        <v>3.6456461462998831E-7</v>
      </c>
    </row>
    <row r="217" spans="1:10" x14ac:dyDescent="0.25">
      <c r="A217" s="31">
        <v>1995</v>
      </c>
      <c r="B217" s="80" t="e">
        <f t="shared" si="11"/>
        <v>#VALUE!</v>
      </c>
      <c r="C217" s="80" t="e">
        <f>Tabla11617212741139[[#This Row],[Balanza Comercial Absoluta USA
(US$ millones)]]/2</f>
        <v>#VALUE!</v>
      </c>
      <c r="D217" s="5">
        <v>7664.06</v>
      </c>
      <c r="E217" s="43" t="e">
        <f t="shared" si="12"/>
        <v>#VALUE!</v>
      </c>
    </row>
    <row r="218" spans="1:10" x14ac:dyDescent="0.25">
      <c r="A218" s="31">
        <v>1996</v>
      </c>
      <c r="B218" s="80">
        <f t="shared" si="11"/>
        <v>93.823773000000003</v>
      </c>
      <c r="C218" s="80">
        <f>Tabla11617212741139[[#This Row],[Balanza Comercial Absoluta USA
(US$ millones)]]/2</f>
        <v>46.911886500000001</v>
      </c>
      <c r="D218" s="5">
        <v>8100.201</v>
      </c>
      <c r="E218" s="43">
        <f t="shared" si="12"/>
        <v>5.7914472122358441E-7</v>
      </c>
    </row>
    <row r="219" spans="1:10" x14ac:dyDescent="0.25">
      <c r="A219" s="31">
        <v>1997</v>
      </c>
      <c r="B219" s="80">
        <f t="shared" si="11"/>
        <v>85.499276000000009</v>
      </c>
      <c r="C219" s="80">
        <f>Tabla11617212741139[[#This Row],[Balanza Comercial Absoluta USA
(US$ millones)]]/2</f>
        <v>42.749638000000004</v>
      </c>
      <c r="D219" s="5">
        <v>8608.5149999999994</v>
      </c>
      <c r="E219" s="43">
        <f t="shared" si="12"/>
        <v>4.9659712505583142E-7</v>
      </c>
    </row>
    <row r="220" spans="1:10" x14ac:dyDescent="0.25">
      <c r="A220" s="31">
        <v>1998</v>
      </c>
      <c r="B220" s="80">
        <f t="shared" si="11"/>
        <v>73.790592000000004</v>
      </c>
      <c r="C220" s="80">
        <f>Tabla11617212741139[[#This Row],[Balanza Comercial Absoluta USA
(US$ millones)]]/2</f>
        <v>36.895296000000002</v>
      </c>
      <c r="D220" s="5">
        <v>9089.1679999999997</v>
      </c>
      <c r="E220" s="43">
        <f t="shared" si="12"/>
        <v>4.0592599894731839E-7</v>
      </c>
    </row>
    <row r="221" spans="1:10" x14ac:dyDescent="0.25">
      <c r="A221" s="31">
        <v>1999</v>
      </c>
      <c r="B221" s="80" t="e">
        <f t="shared" si="11"/>
        <v>#VALUE!</v>
      </c>
      <c r="C221" s="80" t="e">
        <f>Tabla11617212741139[[#This Row],[Balanza Comercial Absoluta USA
(US$ millones)]]/2</f>
        <v>#VALUE!</v>
      </c>
      <c r="D221" s="5">
        <v>9660.6239999999998</v>
      </c>
      <c r="E221" s="43" t="e">
        <f t="shared" si="12"/>
        <v>#VALUE!</v>
      </c>
    </row>
    <row r="222" spans="1:10" x14ac:dyDescent="0.25">
      <c r="A222" s="31">
        <v>2000</v>
      </c>
      <c r="B222" s="80" t="e">
        <f t="shared" si="11"/>
        <v>#VALUE!</v>
      </c>
      <c r="C222" s="80" t="e">
        <f>Tabla11617212741139[[#This Row],[Balanza Comercial Absoluta USA
(US$ millones)]]/2</f>
        <v>#VALUE!</v>
      </c>
      <c r="D222" s="5">
        <v>10284.779</v>
      </c>
      <c r="E222" s="43" t="e">
        <f t="shared" si="12"/>
        <v>#VALUE!</v>
      </c>
    </row>
    <row r="223" spans="1:10" x14ac:dyDescent="0.25">
      <c r="A223" s="31">
        <v>2001</v>
      </c>
      <c r="B223" s="80" t="e">
        <f t="shared" si="11"/>
        <v>#VALUE!</v>
      </c>
      <c r="C223" s="80" t="e">
        <f>Tabla11617212741139[[#This Row],[Balanza Comercial Absoluta USA
(US$ millones)]]/2</f>
        <v>#VALUE!</v>
      </c>
      <c r="D223" s="5">
        <v>10621.824000000001</v>
      </c>
      <c r="E223" s="43" t="e">
        <f t="shared" si="12"/>
        <v>#VALUE!</v>
      </c>
    </row>
    <row r="224" spans="1:10" x14ac:dyDescent="0.25">
      <c r="A224" s="31">
        <v>2002</v>
      </c>
      <c r="B224" s="80">
        <f t="shared" si="11"/>
        <v>32.943293999999995</v>
      </c>
      <c r="C224" s="80">
        <f>Tabla11617212741139[[#This Row],[Balanza Comercial Absoluta USA
(US$ millones)]]/2</f>
        <v>16.471646999999997</v>
      </c>
      <c r="D224" s="5">
        <v>10977.513999999999</v>
      </c>
      <c r="E224" s="43">
        <f t="shared" si="12"/>
        <v>1.5004897283665499E-7</v>
      </c>
    </row>
    <row r="225" spans="1:5" x14ac:dyDescent="0.25">
      <c r="A225" s="31">
        <v>2003</v>
      </c>
      <c r="B225" s="80">
        <f t="shared" si="11"/>
        <v>40.244766999999996</v>
      </c>
      <c r="C225" s="80">
        <f>Tabla11617212741139[[#This Row],[Balanza Comercial Absoluta USA
(US$ millones)]]/2</f>
        <v>20.122383499999998</v>
      </c>
      <c r="D225" s="5">
        <v>11510.67</v>
      </c>
      <c r="E225" s="43">
        <f t="shared" si="12"/>
        <v>1.7481504986243197E-7</v>
      </c>
    </row>
    <row r="226" spans="1:5" x14ac:dyDescent="0.25">
      <c r="A226" s="31">
        <v>2004</v>
      </c>
      <c r="B226" s="80">
        <f t="shared" si="11"/>
        <v>64.318968999999996</v>
      </c>
      <c r="C226" s="80">
        <f>Tabla11617212741139[[#This Row],[Balanza Comercial Absoluta USA
(US$ millones)]]/2</f>
        <v>32.159484499999998</v>
      </c>
      <c r="D226" s="5">
        <v>12274.928</v>
      </c>
      <c r="E226" s="43">
        <f t="shared" si="12"/>
        <v>2.6199326383014217E-7</v>
      </c>
    </row>
    <row r="227" spans="1:5" x14ac:dyDescent="0.25">
      <c r="A227" s="31">
        <v>2005</v>
      </c>
      <c r="B227" s="80">
        <f t="shared" si="11"/>
        <v>91.868800000000007</v>
      </c>
      <c r="C227" s="80">
        <f>Tabla11617212741139[[#This Row],[Balanza Comercial Absoluta USA
(US$ millones)]]/2</f>
        <v>45.934400000000004</v>
      </c>
      <c r="D227" s="5">
        <v>13093.726000000001</v>
      </c>
      <c r="E227" s="43">
        <f t="shared" si="12"/>
        <v>3.5081228979436412E-7</v>
      </c>
    </row>
    <row r="228" spans="1:5" x14ac:dyDescent="0.25">
      <c r="A228" s="31">
        <v>2006</v>
      </c>
      <c r="B228" s="80">
        <f t="shared" si="11"/>
        <v>135.522718</v>
      </c>
      <c r="C228" s="80">
        <f>Tabla11617212741139[[#This Row],[Balanza Comercial Absoluta USA
(US$ millones)]]/2</f>
        <v>67.761358999999999</v>
      </c>
      <c r="D228" s="5">
        <v>13855.888000000001</v>
      </c>
      <c r="E228" s="43">
        <f t="shared" si="12"/>
        <v>4.8904378412989484E-7</v>
      </c>
    </row>
    <row r="229" spans="1:5" x14ac:dyDescent="0.25">
      <c r="A229" s="31">
        <v>2007</v>
      </c>
      <c r="B229" s="80">
        <f t="shared" si="11"/>
        <v>168.819749</v>
      </c>
      <c r="C229" s="80">
        <f>Tabla11617212741139[[#This Row],[Balanza Comercial Absoluta USA
(US$ millones)]]/2</f>
        <v>84.409874500000001</v>
      </c>
      <c r="D229" s="5">
        <v>14477.635</v>
      </c>
      <c r="E229" s="43">
        <f t="shared" si="12"/>
        <v>5.8303634882354748E-7</v>
      </c>
    </row>
    <row r="230" spans="1:5" x14ac:dyDescent="0.25">
      <c r="A230" s="31">
        <v>2008</v>
      </c>
      <c r="B230" s="80">
        <f t="shared" si="11"/>
        <v>258.10175700000002</v>
      </c>
      <c r="C230" s="80">
        <f>Tabla11617212741139[[#This Row],[Balanza Comercial Absoluta USA
(US$ millones)]]/2</f>
        <v>129.05087850000001</v>
      </c>
      <c r="D230" s="5">
        <v>14718.582</v>
      </c>
      <c r="E230" s="43">
        <f t="shared" si="12"/>
        <v>8.7678880003522073E-7</v>
      </c>
    </row>
    <row r="231" spans="1:5" x14ac:dyDescent="0.25">
      <c r="A231" s="31">
        <v>2009</v>
      </c>
      <c r="B231" s="80">
        <f t="shared" si="11"/>
        <v>112.949793</v>
      </c>
      <c r="C231" s="80">
        <f>Tabla11617212741139[[#This Row],[Balanza Comercial Absoluta USA
(US$ millones)]]/2</f>
        <v>56.4748965</v>
      </c>
      <c r="D231" s="5">
        <v>14418.739</v>
      </c>
      <c r="E231" s="43">
        <f t="shared" si="12"/>
        <v>3.9167708424432955E-7</v>
      </c>
    </row>
    <row r="232" spans="1:5" x14ac:dyDescent="0.25">
      <c r="A232" s="31">
        <v>2010</v>
      </c>
      <c r="B232" s="80">
        <f t="shared" si="11"/>
        <v>98.167418999999995</v>
      </c>
      <c r="C232" s="80">
        <f>Tabla11617212741139[[#This Row],[Balanza Comercial Absoluta USA
(US$ millones)]]/2</f>
        <v>49.083709499999998</v>
      </c>
      <c r="D232" s="5">
        <v>14964.371999999999</v>
      </c>
      <c r="E232" s="43">
        <f t="shared" si="12"/>
        <v>3.2800380463677322E-7</v>
      </c>
    </row>
    <row r="233" spans="1:5" x14ac:dyDescent="0.25">
      <c r="A233" s="31">
        <v>2011</v>
      </c>
      <c r="B233" s="80">
        <f t="shared" si="11"/>
        <v>148.172009</v>
      </c>
      <c r="C233" s="80">
        <f>Tabla11617212741139[[#This Row],[Balanza Comercial Absoluta USA
(US$ millones)]]/2</f>
        <v>74.086004500000001</v>
      </c>
      <c r="D233" s="5">
        <v>15517.925999999999</v>
      </c>
      <c r="E233" s="43">
        <f t="shared" si="12"/>
        <v>4.77422076249107E-7</v>
      </c>
    </row>
    <row r="234" spans="1:5" x14ac:dyDescent="0.25">
      <c r="A234" s="31">
        <v>2012</v>
      </c>
      <c r="B234" s="80">
        <f t="shared" si="11"/>
        <v>214.688852</v>
      </c>
      <c r="C234" s="80">
        <f>Tabla11617212741139[[#This Row],[Balanza Comercial Absoluta USA
(US$ millones)]]/2</f>
        <v>107.344426</v>
      </c>
      <c r="D234" s="5">
        <v>16155.254999999999</v>
      </c>
      <c r="E234" s="43">
        <f t="shared" si="12"/>
        <v>6.6445516335087253E-7</v>
      </c>
    </row>
    <row r="235" spans="1:5" x14ac:dyDescent="0.25">
      <c r="A235" s="31">
        <v>2013</v>
      </c>
      <c r="B235" s="80">
        <f t="shared" si="11"/>
        <v>320.10052199999996</v>
      </c>
      <c r="C235" s="80">
        <f>Tabla11617212741139[[#This Row],[Balanza Comercial Absoluta USA
(US$ millones)]]/2</f>
        <v>160.05026099999998</v>
      </c>
      <c r="D235" s="5">
        <v>16663.16</v>
      </c>
      <c r="E235" s="43">
        <f t="shared" si="12"/>
        <v>9.6050365596921573E-7</v>
      </c>
    </row>
    <row r="236" spans="1:5" x14ac:dyDescent="0.25">
      <c r="A236" s="31">
        <v>2014</v>
      </c>
      <c r="B236" s="80">
        <f t="shared" si="11"/>
        <v>370.48907800000001</v>
      </c>
      <c r="C236" s="80">
        <f>Tabla11617212741139[[#This Row],[Balanza Comercial Absoluta USA
(US$ millones)]]/2</f>
        <v>185.244539</v>
      </c>
      <c r="D236" s="5">
        <v>17348.071499999998</v>
      </c>
      <c r="E236" s="43">
        <f t="shared" si="12"/>
        <v>1.0678105575020255E-6</v>
      </c>
    </row>
    <row r="237" spans="1:5" x14ac:dyDescent="0.25">
      <c r="A237" s="31">
        <v>2015</v>
      </c>
      <c r="B237" s="80">
        <f t="shared" si="11"/>
        <v>471.248536</v>
      </c>
      <c r="C237" s="80">
        <f>Tabla11617212741139[[#This Row],[Balanza Comercial Absoluta USA
(US$ millones)]]/2</f>
        <v>235.624268</v>
      </c>
      <c r="D237" s="5">
        <v>17946.995999999999</v>
      </c>
      <c r="E237" s="43">
        <f t="shared" si="12"/>
        <v>1.3128897337470851E-6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55" zoomScale="80" zoomScaleNormal="80" workbookViewId="0">
      <selection activeCell="D158" sqref="D158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30</v>
      </c>
    </row>
    <row r="4" spans="1:10" x14ac:dyDescent="0.25">
      <c r="A4" s="134" t="s">
        <v>31</v>
      </c>
      <c r="B4" s="134"/>
      <c r="C4" s="134"/>
      <c r="D4" s="134"/>
    </row>
    <row r="5" spans="1:10" ht="60" x14ac:dyDescent="0.25">
      <c r="A5" s="118" t="s">
        <v>3</v>
      </c>
      <c r="B5" s="34" t="s">
        <v>121</v>
      </c>
      <c r="C5" s="34" t="s">
        <v>68</v>
      </c>
      <c r="D5" s="34" t="s">
        <v>38</v>
      </c>
    </row>
    <row r="6" spans="1:10" x14ac:dyDescent="0.25">
      <c r="A6" s="37">
        <v>1991</v>
      </c>
      <c r="B6" s="69" t="str">
        <f>'Export 08'!B2</f>
        <v>n.d</v>
      </c>
      <c r="C6" s="39">
        <v>34830570</v>
      </c>
      <c r="D6" s="81" t="e">
        <f t="shared" ref="D6:D30" si="0">(B6*1000/C6)</f>
        <v>#VALUE!</v>
      </c>
      <c r="F6" s="7" t="s">
        <v>69</v>
      </c>
      <c r="I6" s="1" t="s">
        <v>10</v>
      </c>
      <c r="J6" s="7" t="s">
        <v>70</v>
      </c>
    </row>
    <row r="7" spans="1:10" x14ac:dyDescent="0.25">
      <c r="A7" s="38">
        <v>1992</v>
      </c>
      <c r="B7" s="69" t="str">
        <f>'Export 08'!B3</f>
        <v>n.d</v>
      </c>
      <c r="C7" s="40">
        <v>35520940</v>
      </c>
      <c r="D7" s="81" t="e">
        <f t="shared" si="0"/>
        <v>#VALUE!</v>
      </c>
    </row>
    <row r="8" spans="1:10" x14ac:dyDescent="0.25">
      <c r="A8" s="37">
        <v>1993</v>
      </c>
      <c r="B8" s="69">
        <f>'Export 08'!B4</f>
        <v>0.752</v>
      </c>
      <c r="C8" s="39">
        <v>36207108</v>
      </c>
      <c r="D8" s="81">
        <f t="shared" si="0"/>
        <v>2.0769402516213113E-5</v>
      </c>
    </row>
    <row r="9" spans="1:10" x14ac:dyDescent="0.25">
      <c r="A9" s="38">
        <v>1994</v>
      </c>
      <c r="B9" s="69">
        <f>'Export 08'!B5</f>
        <v>13.845000000000001</v>
      </c>
      <c r="C9" s="40">
        <v>36853905</v>
      </c>
      <c r="D9" s="81">
        <f t="shared" si="0"/>
        <v>3.7567253727929236E-4</v>
      </c>
    </row>
    <row r="10" spans="1:10" x14ac:dyDescent="0.25">
      <c r="A10" s="37">
        <v>1995</v>
      </c>
      <c r="B10" s="69" t="str">
        <f>'Export 08'!B6</f>
        <v>n.d</v>
      </c>
      <c r="C10" s="39">
        <v>37472184</v>
      </c>
      <c r="D10" s="81" t="e">
        <f t="shared" si="0"/>
        <v>#VALUE!</v>
      </c>
    </row>
    <row r="11" spans="1:10" x14ac:dyDescent="0.25">
      <c r="A11" s="38">
        <v>1996</v>
      </c>
      <c r="B11" s="69">
        <f>'Export 08'!B7</f>
        <v>14.885</v>
      </c>
      <c r="C11" s="40">
        <v>38068050</v>
      </c>
      <c r="D11" s="81">
        <f t="shared" si="0"/>
        <v>3.910103091700258E-4</v>
      </c>
    </row>
    <row r="12" spans="1:10" x14ac:dyDescent="0.25">
      <c r="A12" s="37">
        <v>1997</v>
      </c>
      <c r="B12" s="69">
        <f>'Export 08'!B8</f>
        <v>4.58</v>
      </c>
      <c r="C12" s="39">
        <v>38635691</v>
      </c>
      <c r="D12" s="81">
        <f t="shared" si="0"/>
        <v>1.1854324023866947E-4</v>
      </c>
    </row>
    <row r="13" spans="1:10" x14ac:dyDescent="0.25">
      <c r="A13" s="38">
        <v>1998</v>
      </c>
      <c r="B13" s="69">
        <f>'Export 08'!B9</f>
        <v>12.704000000000001</v>
      </c>
      <c r="C13" s="40">
        <v>39184456</v>
      </c>
      <c r="D13" s="81">
        <f t="shared" si="0"/>
        <v>3.2421019191895888E-4</v>
      </c>
    </row>
    <row r="14" spans="1:10" x14ac:dyDescent="0.25">
      <c r="A14" s="37">
        <v>1999</v>
      </c>
      <c r="B14" s="69" t="str">
        <f>'Export 08'!B10</f>
        <v>n.d</v>
      </c>
      <c r="C14" s="39">
        <v>39730798</v>
      </c>
      <c r="D14" s="81" t="e">
        <f t="shared" si="0"/>
        <v>#VALUE!</v>
      </c>
    </row>
    <row r="15" spans="1:10" x14ac:dyDescent="0.25">
      <c r="A15" s="38">
        <v>2000</v>
      </c>
      <c r="B15" s="69" t="str">
        <f>'Export 08'!B11</f>
        <v>n.d</v>
      </c>
      <c r="C15" s="40">
        <v>40295563</v>
      </c>
      <c r="D15" s="81" t="e">
        <f t="shared" si="0"/>
        <v>#VALUE!</v>
      </c>
    </row>
    <row r="16" spans="1:10" x14ac:dyDescent="0.25">
      <c r="A16" s="37">
        <v>2001</v>
      </c>
      <c r="B16" s="69" t="str">
        <f>'Export 08'!B12</f>
        <v>n.d</v>
      </c>
      <c r="C16" s="39">
        <v>40813541</v>
      </c>
      <c r="D16" s="81" t="e">
        <f t="shared" si="0"/>
        <v>#VALUE!</v>
      </c>
    </row>
    <row r="17" spans="1:4" x14ac:dyDescent="0.25">
      <c r="A17" s="38">
        <v>2002</v>
      </c>
      <c r="B17" s="69">
        <f>'Export 08'!B13</f>
        <v>71.614000000000004</v>
      </c>
      <c r="C17" s="40">
        <v>41328824</v>
      </c>
      <c r="D17" s="81">
        <f t="shared" si="0"/>
        <v>1.7327858155363918E-3</v>
      </c>
    </row>
    <row r="18" spans="1:4" x14ac:dyDescent="0.25">
      <c r="A18" s="37">
        <v>2003</v>
      </c>
      <c r="B18" s="69">
        <f>'Export 08'!B14</f>
        <v>56.762</v>
      </c>
      <c r="C18" s="39">
        <v>41848959</v>
      </c>
      <c r="D18" s="81">
        <f t="shared" si="0"/>
        <v>1.3563539298552206E-3</v>
      </c>
    </row>
    <row r="19" spans="1:4" x14ac:dyDescent="0.25">
      <c r="A19" s="38">
        <v>2004</v>
      </c>
      <c r="B19" s="69">
        <f>'Export 08'!B15</f>
        <v>113.514</v>
      </c>
      <c r="C19" s="40">
        <v>42368489</v>
      </c>
      <c r="D19" s="81">
        <f t="shared" si="0"/>
        <v>2.6792081256426211E-3</v>
      </c>
    </row>
    <row r="20" spans="1:4" x14ac:dyDescent="0.25">
      <c r="A20" s="37">
        <v>2005</v>
      </c>
      <c r="B20" s="69">
        <f>'Export 08'!B16</f>
        <v>216.98099999999999</v>
      </c>
      <c r="C20" s="39">
        <v>42888592</v>
      </c>
      <c r="D20" s="81">
        <f t="shared" si="0"/>
        <v>5.0591775080888642E-3</v>
      </c>
    </row>
    <row r="21" spans="1:4" x14ac:dyDescent="0.25">
      <c r="A21" s="38">
        <v>2006</v>
      </c>
      <c r="B21" s="69">
        <f>'Export 08'!B17</f>
        <v>418.16500000000002</v>
      </c>
      <c r="C21" s="40">
        <v>43405956</v>
      </c>
      <c r="D21" s="81">
        <f t="shared" si="0"/>
        <v>9.6338161518663475E-3</v>
      </c>
    </row>
    <row r="22" spans="1:4" x14ac:dyDescent="0.25">
      <c r="A22" s="37">
        <v>2007</v>
      </c>
      <c r="B22" s="69">
        <f>'Export 08'!B18</f>
        <v>407.47699999999998</v>
      </c>
      <c r="C22" s="39">
        <v>43926929</v>
      </c>
      <c r="D22" s="81">
        <f t="shared" si="0"/>
        <v>9.2762460130094686E-3</v>
      </c>
    </row>
    <row r="23" spans="1:4" x14ac:dyDescent="0.25">
      <c r="A23" s="38">
        <v>2008</v>
      </c>
      <c r="B23" s="69">
        <f>'Export 08'!B19</f>
        <v>811.77499999999998</v>
      </c>
      <c r="C23" s="40">
        <v>44451147</v>
      </c>
      <c r="D23" s="81">
        <f t="shared" si="0"/>
        <v>1.8262183425773019E-2</v>
      </c>
    </row>
    <row r="24" spans="1:4" x14ac:dyDescent="0.25">
      <c r="A24" s="37">
        <v>2009</v>
      </c>
      <c r="B24" s="69">
        <f>'Export 08'!B20</f>
        <v>300.98</v>
      </c>
      <c r="C24" s="39">
        <v>44978832</v>
      </c>
      <c r="D24" s="81">
        <f t="shared" si="0"/>
        <v>6.6915921694009305E-3</v>
      </c>
    </row>
    <row r="25" spans="1:4" x14ac:dyDescent="0.25">
      <c r="A25" s="38">
        <v>2010</v>
      </c>
      <c r="B25" s="69">
        <f>'Export 08'!B21</f>
        <v>621.55600000000004</v>
      </c>
      <c r="C25" s="40">
        <v>45509584</v>
      </c>
      <c r="D25" s="81">
        <f t="shared" si="0"/>
        <v>1.3657694607799534E-2</v>
      </c>
    </row>
    <row r="26" spans="1:4" x14ac:dyDescent="0.25">
      <c r="A26" s="37">
        <v>2011</v>
      </c>
      <c r="B26" s="69">
        <f>'Export 08'!B22</f>
        <v>607.07799999999997</v>
      </c>
      <c r="C26" s="39">
        <v>46044601</v>
      </c>
      <c r="D26" s="81">
        <f t="shared" si="0"/>
        <v>1.3184564244568001E-2</v>
      </c>
    </row>
    <row r="27" spans="1:4" x14ac:dyDescent="0.25">
      <c r="A27" s="38">
        <v>2012</v>
      </c>
      <c r="B27" s="69">
        <f>'Export 08'!B23</f>
        <v>342.78100000000001</v>
      </c>
      <c r="C27" s="40">
        <v>46581823</v>
      </c>
      <c r="D27" s="81">
        <f t="shared" si="0"/>
        <v>7.3586858118455346E-3</v>
      </c>
    </row>
    <row r="28" spans="1:4" x14ac:dyDescent="0.25">
      <c r="A28" s="37">
        <v>2013</v>
      </c>
      <c r="B28" s="69">
        <f>'Export 08'!B24</f>
        <v>876.74400000000003</v>
      </c>
      <c r="C28" s="39">
        <v>47121089</v>
      </c>
      <c r="D28" s="81">
        <f t="shared" si="0"/>
        <v>1.860619138067883E-2</v>
      </c>
    </row>
    <row r="29" spans="1:4" x14ac:dyDescent="0.25">
      <c r="A29" s="38">
        <v>2014</v>
      </c>
      <c r="B29" s="69">
        <f>'Export 08'!B25</f>
        <v>233.03800000000001</v>
      </c>
      <c r="C29" s="40">
        <v>47661787</v>
      </c>
      <c r="D29" s="81">
        <f t="shared" si="0"/>
        <v>4.8894096228494326E-3</v>
      </c>
    </row>
    <row r="30" spans="1:4" x14ac:dyDescent="0.25">
      <c r="A30" s="37">
        <v>2015</v>
      </c>
      <c r="B30" s="69">
        <f>'Export 08'!B26</f>
        <v>1012.679</v>
      </c>
      <c r="C30" s="39">
        <v>48203405</v>
      </c>
      <c r="D30" s="81">
        <f t="shared" si="0"/>
        <v>2.1008453655919121E-2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118" t="s">
        <v>3</v>
      </c>
      <c r="B35" s="34" t="s">
        <v>33</v>
      </c>
      <c r="C35" s="34" t="s">
        <v>68</v>
      </c>
      <c r="D35" s="34" t="s">
        <v>129</v>
      </c>
    </row>
    <row r="36" spans="1:10" x14ac:dyDescent="0.25">
      <c r="A36" s="37">
        <v>1991</v>
      </c>
      <c r="B36" s="69">
        <f>'Import 08'!B2</f>
        <v>3.950151</v>
      </c>
      <c r="C36" s="39">
        <v>34830570</v>
      </c>
      <c r="D36" s="35">
        <f t="shared" ref="D36:D60" si="1">(B36/C36)*1000000</f>
        <v>0.11341046098298134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69">
        <f>'Import 08'!B3</f>
        <v>16.932155999999999</v>
      </c>
      <c r="C37" s="40">
        <v>35520940</v>
      </c>
      <c r="D37" s="35">
        <f t="shared" si="1"/>
        <v>0.47668096621316886</v>
      </c>
    </row>
    <row r="38" spans="1:10" x14ac:dyDescent="0.25">
      <c r="A38" s="37">
        <v>1993</v>
      </c>
      <c r="B38" s="69">
        <f>'Import 08'!B4</f>
        <v>28.760771999999999</v>
      </c>
      <c r="C38" s="39">
        <v>36207108</v>
      </c>
      <c r="D38" s="35">
        <f t="shared" si="1"/>
        <v>0.79434049248009531</v>
      </c>
    </row>
    <row r="39" spans="1:10" x14ac:dyDescent="0.25">
      <c r="A39" s="38">
        <v>1994</v>
      </c>
      <c r="B39" s="69">
        <f>'Import 08'!B5</f>
        <v>53.276423999999999</v>
      </c>
      <c r="C39" s="40">
        <v>36853905</v>
      </c>
      <c r="D39" s="35">
        <f t="shared" si="1"/>
        <v>1.4456113673707034</v>
      </c>
    </row>
    <row r="40" spans="1:10" x14ac:dyDescent="0.25">
      <c r="A40" s="37">
        <v>1995</v>
      </c>
      <c r="B40" s="69">
        <f>'Import 08'!B6</f>
        <v>45.640956000000003</v>
      </c>
      <c r="C40" s="39">
        <v>37472184</v>
      </c>
      <c r="D40" s="35">
        <f t="shared" si="1"/>
        <v>1.2179956204314113</v>
      </c>
    </row>
    <row r="41" spans="1:10" x14ac:dyDescent="0.25">
      <c r="A41" s="38">
        <v>1996</v>
      </c>
      <c r="B41" s="69">
        <f>'Import 08'!B7</f>
        <v>93.808887999999996</v>
      </c>
      <c r="C41" s="40">
        <v>38068050</v>
      </c>
      <c r="D41" s="35">
        <f t="shared" si="1"/>
        <v>2.4642420087185974</v>
      </c>
    </row>
    <row r="42" spans="1:10" x14ac:dyDescent="0.25">
      <c r="A42" s="37">
        <v>1997</v>
      </c>
      <c r="B42" s="69">
        <f>'Import 08'!B8</f>
        <v>85.494696000000005</v>
      </c>
      <c r="C42" s="39">
        <v>38635691</v>
      </c>
      <c r="D42" s="35">
        <f t="shared" si="1"/>
        <v>2.2128424207554618</v>
      </c>
    </row>
    <row r="43" spans="1:10" x14ac:dyDescent="0.25">
      <c r="A43" s="38">
        <v>1998</v>
      </c>
      <c r="B43" s="69">
        <f>'Import 08'!B9</f>
        <v>73.777888000000004</v>
      </c>
      <c r="C43" s="40">
        <v>39184456</v>
      </c>
      <c r="D43" s="35">
        <f t="shared" si="1"/>
        <v>1.8828355815377407</v>
      </c>
    </row>
    <row r="44" spans="1:10" x14ac:dyDescent="0.25">
      <c r="A44" s="37">
        <v>1999</v>
      </c>
      <c r="B44" s="69">
        <f>'Import 08'!B10</f>
        <v>26.589012</v>
      </c>
      <c r="C44" s="39">
        <v>39730798</v>
      </c>
      <c r="D44" s="35">
        <f t="shared" si="1"/>
        <v>0.66922924628898717</v>
      </c>
    </row>
    <row r="45" spans="1:10" x14ac:dyDescent="0.25">
      <c r="A45" s="38">
        <v>2000</v>
      </c>
      <c r="B45" s="69">
        <f>'Import 08'!B11</f>
        <v>35.731420999999997</v>
      </c>
      <c r="C45" s="40">
        <v>40295563</v>
      </c>
      <c r="D45" s="35">
        <f t="shared" si="1"/>
        <v>0.88673338550946657</v>
      </c>
    </row>
    <row r="46" spans="1:10" x14ac:dyDescent="0.25">
      <c r="A46" s="37">
        <v>2001</v>
      </c>
      <c r="B46" s="69">
        <f>'Import 08'!B12</f>
        <v>35.341216000000003</v>
      </c>
      <c r="C46" s="39">
        <v>40813541</v>
      </c>
      <c r="D46" s="35">
        <f t="shared" si="1"/>
        <v>0.86591888706740749</v>
      </c>
    </row>
    <row r="47" spans="1:10" x14ac:dyDescent="0.25">
      <c r="A47" s="38">
        <v>2002</v>
      </c>
      <c r="B47" s="69">
        <f>'Import 08'!B13</f>
        <v>32.871679999999998</v>
      </c>
      <c r="C47" s="40">
        <v>41328824</v>
      </c>
      <c r="D47" s="35">
        <f t="shared" si="1"/>
        <v>0.79536935287585242</v>
      </c>
    </row>
    <row r="48" spans="1:10" x14ac:dyDescent="0.25">
      <c r="A48" s="37">
        <v>2003</v>
      </c>
      <c r="B48" s="69">
        <f>'Import 08'!B14</f>
        <v>40.188004999999997</v>
      </c>
      <c r="C48" s="39">
        <v>41848959</v>
      </c>
      <c r="D48" s="35">
        <f t="shared" si="1"/>
        <v>0.96031074512510572</v>
      </c>
    </row>
    <row r="49" spans="1:4" x14ac:dyDescent="0.25">
      <c r="A49" s="38">
        <v>2004</v>
      </c>
      <c r="B49" s="69">
        <f>'Import 08'!B15</f>
        <v>64.205455000000001</v>
      </c>
      <c r="C49" s="40">
        <v>42368489</v>
      </c>
      <c r="D49" s="35">
        <f t="shared" si="1"/>
        <v>1.5154058243615911</v>
      </c>
    </row>
    <row r="50" spans="1:4" x14ac:dyDescent="0.25">
      <c r="A50" s="37">
        <v>2005</v>
      </c>
      <c r="B50" s="69">
        <f>'Import 08'!B16</f>
        <v>91.651819000000003</v>
      </c>
      <c r="C50" s="39">
        <v>42888592</v>
      </c>
      <c r="D50" s="35">
        <f t="shared" si="1"/>
        <v>2.1369743030967303</v>
      </c>
    </row>
    <row r="51" spans="1:4" x14ac:dyDescent="0.25">
      <c r="A51" s="38">
        <v>2006</v>
      </c>
      <c r="B51" s="69">
        <f>'Import 08'!B17</f>
        <v>135.10455300000001</v>
      </c>
      <c r="C51" s="40">
        <v>43405956</v>
      </c>
      <c r="D51" s="35">
        <f t="shared" si="1"/>
        <v>3.1125809785182477</v>
      </c>
    </row>
    <row r="52" spans="1:4" x14ac:dyDescent="0.25">
      <c r="A52" s="37">
        <v>2007</v>
      </c>
      <c r="B52" s="69">
        <f>'Import 08'!B18</f>
        <v>168.412272</v>
      </c>
      <c r="C52" s="39">
        <v>43926929</v>
      </c>
      <c r="D52" s="35">
        <f t="shared" si="1"/>
        <v>3.8339186424801062</v>
      </c>
    </row>
    <row r="53" spans="1:4" x14ac:dyDescent="0.25">
      <c r="A53" s="38">
        <v>2008</v>
      </c>
      <c r="B53" s="69">
        <f>'Import 08'!B19</f>
        <v>257.28998200000001</v>
      </c>
      <c r="C53" s="40">
        <v>44451147</v>
      </c>
      <c r="D53" s="35">
        <f t="shared" si="1"/>
        <v>5.788151698312757</v>
      </c>
    </row>
    <row r="54" spans="1:4" x14ac:dyDescent="0.25">
      <c r="A54" s="37">
        <v>2009</v>
      </c>
      <c r="B54" s="69">
        <f>'Import 08'!B20</f>
        <v>112.648813</v>
      </c>
      <c r="C54" s="39">
        <v>44978832</v>
      </c>
      <c r="D54" s="35">
        <f t="shared" si="1"/>
        <v>2.5044850653302873</v>
      </c>
    </row>
    <row r="55" spans="1:4" x14ac:dyDescent="0.25">
      <c r="A55" s="38">
        <v>2010</v>
      </c>
      <c r="B55" s="69">
        <f>'Import 08'!B21</f>
        <v>97.545862999999997</v>
      </c>
      <c r="C55" s="40">
        <v>45509584</v>
      </c>
      <c r="D55" s="35">
        <f t="shared" si="1"/>
        <v>2.1434136378833961</v>
      </c>
    </row>
    <row r="56" spans="1:4" x14ac:dyDescent="0.25">
      <c r="A56" s="37">
        <v>2011</v>
      </c>
      <c r="B56" s="69">
        <f>'Import 08'!B22</f>
        <v>147.564931</v>
      </c>
      <c r="C56" s="39">
        <v>46044601</v>
      </c>
      <c r="D56" s="35">
        <f t="shared" si="1"/>
        <v>3.2048259251937052</v>
      </c>
    </row>
    <row r="57" spans="1:4" x14ac:dyDescent="0.25">
      <c r="A57" s="38">
        <v>2012</v>
      </c>
      <c r="B57" s="69">
        <f>'Import 08'!B23</f>
        <v>214.34607099999999</v>
      </c>
      <c r="C57" s="40">
        <v>46581823</v>
      </c>
      <c r="D57" s="35">
        <f t="shared" si="1"/>
        <v>4.6014959740841404</v>
      </c>
    </row>
    <row r="58" spans="1:4" x14ac:dyDescent="0.25">
      <c r="A58" s="37">
        <v>2013</v>
      </c>
      <c r="B58" s="69">
        <f>'Import 08'!B24</f>
        <v>319.22377799999998</v>
      </c>
      <c r="C58" s="39">
        <v>47121089</v>
      </c>
      <c r="D58" s="35">
        <f t="shared" si="1"/>
        <v>6.774541607049871</v>
      </c>
    </row>
    <row r="59" spans="1:4" x14ac:dyDescent="0.25">
      <c r="A59" s="38">
        <v>2014</v>
      </c>
      <c r="B59" s="69">
        <f>'Import 08'!B25</f>
        <v>370.25603999999998</v>
      </c>
      <c r="C59" s="40">
        <v>47661787</v>
      </c>
      <c r="D59" s="35">
        <f t="shared" si="1"/>
        <v>7.7684044872257934</v>
      </c>
    </row>
    <row r="60" spans="1:4" x14ac:dyDescent="0.25">
      <c r="A60" s="37">
        <v>2015</v>
      </c>
      <c r="B60" s="69">
        <f>'Import 08'!B26</f>
        <v>470.23585700000001</v>
      </c>
      <c r="C60" s="39">
        <v>48203405</v>
      </c>
      <c r="D60" s="35">
        <f t="shared" si="1"/>
        <v>9.7552415021303993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118" t="s">
        <v>3</v>
      </c>
      <c r="B64" s="34" t="s">
        <v>65</v>
      </c>
      <c r="C64" s="34" t="s">
        <v>68</v>
      </c>
      <c r="D64" s="34" t="s">
        <v>132</v>
      </c>
    </row>
    <row r="65" spans="1:10" x14ac:dyDescent="0.25">
      <c r="A65" s="37">
        <v>1991</v>
      </c>
      <c r="B65" s="69" t="e">
        <f>'Apertura 08'!B213</f>
        <v>#VALUE!</v>
      </c>
      <c r="C65" s="39">
        <v>34830570</v>
      </c>
      <c r="D65" s="81" t="e">
        <f t="shared" ref="D65:D89" si="2">(B65/C65)*1000000</f>
        <v>#VALUE!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69" t="e">
        <f>'Apertura 08'!B214</f>
        <v>#VALUE!</v>
      </c>
      <c r="C66" s="40">
        <v>35520940</v>
      </c>
      <c r="D66" s="81" t="e">
        <f t="shared" si="2"/>
        <v>#VALUE!</v>
      </c>
    </row>
    <row r="67" spans="1:10" x14ac:dyDescent="0.25">
      <c r="A67" s="37">
        <v>1993</v>
      </c>
      <c r="B67" s="69">
        <f>'Apertura 08'!B215</f>
        <v>28.761523999999998</v>
      </c>
      <c r="C67" s="39">
        <v>36207108</v>
      </c>
      <c r="D67" s="81">
        <f t="shared" si="2"/>
        <v>0.79436126188261147</v>
      </c>
    </row>
    <row r="68" spans="1:10" x14ac:dyDescent="0.25">
      <c r="A68" s="38">
        <v>1994</v>
      </c>
      <c r="B68" s="69">
        <f>'Apertura 08'!B216</f>
        <v>53.290269000000002</v>
      </c>
      <c r="C68" s="40">
        <v>36853905</v>
      </c>
      <c r="D68" s="81">
        <f t="shared" si="2"/>
        <v>1.4459870399079826</v>
      </c>
    </row>
    <row r="69" spans="1:10" x14ac:dyDescent="0.25">
      <c r="A69" s="37">
        <v>1995</v>
      </c>
      <c r="B69" s="69" t="e">
        <f>'Apertura 08'!B217</f>
        <v>#VALUE!</v>
      </c>
      <c r="C69" s="39">
        <v>37472184</v>
      </c>
      <c r="D69" s="81" t="e">
        <f t="shared" si="2"/>
        <v>#VALUE!</v>
      </c>
    </row>
    <row r="70" spans="1:10" x14ac:dyDescent="0.25">
      <c r="A70" s="38">
        <v>1996</v>
      </c>
      <c r="B70" s="69">
        <f>'Apertura 08'!B218</f>
        <v>93.823773000000003</v>
      </c>
      <c r="C70" s="40">
        <v>38068050</v>
      </c>
      <c r="D70" s="81">
        <f t="shared" si="2"/>
        <v>2.4646330190277674</v>
      </c>
    </row>
    <row r="71" spans="1:10" x14ac:dyDescent="0.25">
      <c r="A71" s="37">
        <v>1997</v>
      </c>
      <c r="B71" s="69">
        <f>'Apertura 08'!B219</f>
        <v>85.499276000000009</v>
      </c>
      <c r="C71" s="39">
        <v>38635691</v>
      </c>
      <c r="D71" s="81">
        <f t="shared" si="2"/>
        <v>2.2129609639957004</v>
      </c>
    </row>
    <row r="72" spans="1:10" x14ac:dyDescent="0.25">
      <c r="A72" s="38">
        <v>1998</v>
      </c>
      <c r="B72" s="69">
        <f>'Apertura 08'!B220</f>
        <v>73.790592000000004</v>
      </c>
      <c r="C72" s="40">
        <v>39184456</v>
      </c>
      <c r="D72" s="81">
        <f t="shared" si="2"/>
        <v>1.8831597917296594</v>
      </c>
    </row>
    <row r="73" spans="1:10" x14ac:dyDescent="0.25">
      <c r="A73" s="37">
        <v>1999</v>
      </c>
      <c r="B73" s="69" t="e">
        <f>'Apertura 08'!B221</f>
        <v>#VALUE!</v>
      </c>
      <c r="C73" s="39">
        <v>39730798</v>
      </c>
      <c r="D73" s="81" t="e">
        <f t="shared" si="2"/>
        <v>#VALUE!</v>
      </c>
    </row>
    <row r="74" spans="1:10" x14ac:dyDescent="0.25">
      <c r="A74" s="38">
        <v>2000</v>
      </c>
      <c r="B74" s="69" t="e">
        <f>'Apertura 08'!B222</f>
        <v>#VALUE!</v>
      </c>
      <c r="C74" s="40">
        <v>40295563</v>
      </c>
      <c r="D74" s="81" t="e">
        <f t="shared" si="2"/>
        <v>#VALUE!</v>
      </c>
    </row>
    <row r="75" spans="1:10" x14ac:dyDescent="0.25">
      <c r="A75" s="37">
        <v>2001</v>
      </c>
      <c r="B75" s="69" t="e">
        <f>'Apertura 08'!B223</f>
        <v>#VALUE!</v>
      </c>
      <c r="C75" s="39">
        <v>40813541</v>
      </c>
      <c r="D75" s="81" t="e">
        <f t="shared" si="2"/>
        <v>#VALUE!</v>
      </c>
    </row>
    <row r="76" spans="1:10" x14ac:dyDescent="0.25">
      <c r="A76" s="38">
        <v>2002</v>
      </c>
      <c r="B76" s="69">
        <f>'Apertura 08'!B224</f>
        <v>32.943293999999995</v>
      </c>
      <c r="C76" s="40">
        <v>41328824</v>
      </c>
      <c r="D76" s="81">
        <f t="shared" si="2"/>
        <v>0.79710213869138868</v>
      </c>
    </row>
    <row r="77" spans="1:10" x14ac:dyDescent="0.25">
      <c r="A77" s="37">
        <v>2003</v>
      </c>
      <c r="B77" s="69">
        <f>'Apertura 08'!B225</f>
        <v>40.244766999999996</v>
      </c>
      <c r="C77" s="39">
        <v>41848959</v>
      </c>
      <c r="D77" s="81">
        <f t="shared" si="2"/>
        <v>0.96166709905496084</v>
      </c>
    </row>
    <row r="78" spans="1:10" x14ac:dyDescent="0.25">
      <c r="A78" s="38">
        <v>2004</v>
      </c>
      <c r="B78" s="69">
        <f>'Apertura 08'!B226</f>
        <v>64.318968999999996</v>
      </c>
      <c r="C78" s="40">
        <v>42368489</v>
      </c>
      <c r="D78" s="81">
        <f t="shared" si="2"/>
        <v>1.5180850324872335</v>
      </c>
    </row>
    <row r="79" spans="1:10" x14ac:dyDescent="0.25">
      <c r="A79" s="37">
        <v>2005</v>
      </c>
      <c r="B79" s="69">
        <f>'Apertura 08'!B227</f>
        <v>91.868800000000007</v>
      </c>
      <c r="C79" s="39">
        <v>42888592</v>
      </c>
      <c r="D79" s="81">
        <f t="shared" si="2"/>
        <v>2.1420334806048191</v>
      </c>
    </row>
    <row r="80" spans="1:10" x14ac:dyDescent="0.25">
      <c r="A80" s="38">
        <v>2006</v>
      </c>
      <c r="B80" s="69">
        <f>'Apertura 08'!B228</f>
        <v>135.522718</v>
      </c>
      <c r="C80" s="40">
        <v>43405956</v>
      </c>
      <c r="D80" s="81">
        <f t="shared" si="2"/>
        <v>3.1222147946701142</v>
      </c>
    </row>
    <row r="81" spans="1:4" x14ac:dyDescent="0.25">
      <c r="A81" s="37">
        <v>2007</v>
      </c>
      <c r="B81" s="69">
        <f>'Apertura 08'!B229</f>
        <v>168.819749</v>
      </c>
      <c r="C81" s="39">
        <v>43926929</v>
      </c>
      <c r="D81" s="81">
        <f t="shared" si="2"/>
        <v>3.8431948884931155</v>
      </c>
    </row>
    <row r="82" spans="1:4" x14ac:dyDescent="0.25">
      <c r="A82" s="38">
        <v>2008</v>
      </c>
      <c r="B82" s="69">
        <f>'Apertura 08'!B230</f>
        <v>258.10175700000002</v>
      </c>
      <c r="C82" s="40">
        <v>44451147</v>
      </c>
      <c r="D82" s="81">
        <f t="shared" si="2"/>
        <v>5.8064138817385302</v>
      </c>
    </row>
    <row r="83" spans="1:4" x14ac:dyDescent="0.25">
      <c r="A83" s="37">
        <v>2009</v>
      </c>
      <c r="B83" s="69">
        <f>'Apertura 08'!B231</f>
        <v>112.949793</v>
      </c>
      <c r="C83" s="39">
        <v>44978832</v>
      </c>
      <c r="D83" s="81">
        <f t="shared" si="2"/>
        <v>2.5111766574996879</v>
      </c>
    </row>
    <row r="84" spans="1:4" x14ac:dyDescent="0.25">
      <c r="A84" s="38">
        <v>2010</v>
      </c>
      <c r="B84" s="69">
        <f>'Apertura 08'!B232</f>
        <v>98.167418999999995</v>
      </c>
      <c r="C84" s="40">
        <v>45509584</v>
      </c>
      <c r="D84" s="81">
        <f t="shared" si="2"/>
        <v>2.1570713324911956</v>
      </c>
    </row>
    <row r="85" spans="1:4" x14ac:dyDescent="0.25">
      <c r="A85" s="37">
        <v>2011</v>
      </c>
      <c r="B85" s="69">
        <f>'Apertura 08'!B233</f>
        <v>148.172009</v>
      </c>
      <c r="C85" s="39">
        <v>46044601</v>
      </c>
      <c r="D85" s="81">
        <f t="shared" si="2"/>
        <v>3.2180104894382731</v>
      </c>
    </row>
    <row r="86" spans="1:4" x14ac:dyDescent="0.25">
      <c r="A86" s="38">
        <v>2012</v>
      </c>
      <c r="B86" s="69">
        <f>'Apertura 08'!B234</f>
        <v>214.688852</v>
      </c>
      <c r="C86" s="40">
        <v>46581823</v>
      </c>
      <c r="D86" s="81">
        <f t="shared" si="2"/>
        <v>4.6088546598959859</v>
      </c>
    </row>
    <row r="87" spans="1:4" x14ac:dyDescent="0.25">
      <c r="A87" s="37">
        <v>2013</v>
      </c>
      <c r="B87" s="69">
        <f>'Apertura 08'!B235</f>
        <v>320.10052199999996</v>
      </c>
      <c r="C87" s="39">
        <v>47121089</v>
      </c>
      <c r="D87" s="81">
        <f t="shared" si="2"/>
        <v>6.7931477984305486</v>
      </c>
    </row>
    <row r="88" spans="1:4" x14ac:dyDescent="0.25">
      <c r="A88" s="38">
        <v>2014</v>
      </c>
      <c r="B88" s="69">
        <f>'Apertura 08'!B236</f>
        <v>370.48907800000001</v>
      </c>
      <c r="C88" s="40">
        <v>47661787</v>
      </c>
      <c r="D88" s="81">
        <f t="shared" si="2"/>
        <v>7.773293896848644</v>
      </c>
    </row>
    <row r="89" spans="1:4" x14ac:dyDescent="0.25">
      <c r="A89" s="37">
        <v>2015</v>
      </c>
      <c r="B89" s="69">
        <f>'Apertura 08'!B237</f>
        <v>471.248536</v>
      </c>
      <c r="C89" s="39">
        <v>48203405</v>
      </c>
      <c r="D89" s="81">
        <f t="shared" si="2"/>
        <v>9.7762499557863176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118" t="s">
        <v>3</v>
      </c>
      <c r="B96" s="34" t="s">
        <v>8</v>
      </c>
      <c r="C96" s="34" t="s">
        <v>35</v>
      </c>
      <c r="D96" s="34" t="s">
        <v>38</v>
      </c>
    </row>
    <row r="97" spans="1:11" x14ac:dyDescent="0.25">
      <c r="A97" s="37">
        <v>1991</v>
      </c>
      <c r="B97" s="69">
        <f t="shared" ref="B97:B121" si="3">B36</f>
        <v>3.950151</v>
      </c>
      <c r="C97" s="39">
        <v>253620000</v>
      </c>
      <c r="D97" s="68">
        <f t="shared" ref="D97:D121" si="4">(B97/C97)*1000000</f>
        <v>1.5575076886680863E-2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69">
        <f t="shared" si="3"/>
        <v>16.932155999999999</v>
      </c>
      <c r="C98" s="40">
        <v>256516000</v>
      </c>
      <c r="D98" s="68">
        <f t="shared" si="4"/>
        <v>6.6008186623836326E-2</v>
      </c>
    </row>
    <row r="99" spans="1:11" x14ac:dyDescent="0.25">
      <c r="A99" s="37">
        <v>1993</v>
      </c>
      <c r="B99" s="69">
        <f t="shared" si="3"/>
        <v>28.760771999999999</v>
      </c>
      <c r="C99" s="39">
        <v>259131000</v>
      </c>
      <c r="D99" s="68">
        <f t="shared" si="4"/>
        <v>0.11098931428505272</v>
      </c>
    </row>
    <row r="100" spans="1:11" x14ac:dyDescent="0.25">
      <c r="A100" s="38">
        <v>1994</v>
      </c>
      <c r="B100" s="69">
        <f t="shared" si="3"/>
        <v>53.276423999999999</v>
      </c>
      <c r="C100" s="40">
        <v>264061000</v>
      </c>
      <c r="D100" s="68">
        <f t="shared" si="4"/>
        <v>0.20175801803371191</v>
      </c>
    </row>
    <row r="101" spans="1:11" x14ac:dyDescent="0.25">
      <c r="A101" s="37">
        <v>1995</v>
      </c>
      <c r="B101" s="69">
        <f t="shared" si="3"/>
        <v>45.640956000000003</v>
      </c>
      <c r="C101" s="39">
        <v>266398000</v>
      </c>
      <c r="D101" s="68">
        <f t="shared" si="4"/>
        <v>0.17132619614261368</v>
      </c>
    </row>
    <row r="102" spans="1:11" x14ac:dyDescent="0.25">
      <c r="A102" s="38">
        <v>1996</v>
      </c>
      <c r="B102" s="69">
        <f t="shared" si="3"/>
        <v>93.808887999999996</v>
      </c>
      <c r="C102" s="40">
        <v>268930000</v>
      </c>
      <c r="D102" s="68">
        <f t="shared" si="4"/>
        <v>0.34882269735618932</v>
      </c>
    </row>
    <row r="103" spans="1:11" x14ac:dyDescent="0.25">
      <c r="A103" s="37">
        <v>1997</v>
      </c>
      <c r="B103" s="69">
        <f t="shared" si="3"/>
        <v>85.494696000000005</v>
      </c>
      <c r="C103" s="39">
        <v>271387000</v>
      </c>
      <c r="D103" s="68">
        <f t="shared" si="4"/>
        <v>0.3150287080810798</v>
      </c>
    </row>
    <row r="104" spans="1:11" x14ac:dyDescent="0.25">
      <c r="A104" s="38">
        <v>1998</v>
      </c>
      <c r="B104" s="69">
        <f t="shared" si="3"/>
        <v>73.777888000000004</v>
      </c>
      <c r="C104" s="40">
        <v>271584000</v>
      </c>
      <c r="D104" s="68">
        <f t="shared" si="4"/>
        <v>0.27165771179450926</v>
      </c>
    </row>
    <row r="105" spans="1:11" x14ac:dyDescent="0.25">
      <c r="A105" s="37">
        <v>1999</v>
      </c>
      <c r="B105" s="69">
        <f t="shared" si="3"/>
        <v>26.589012</v>
      </c>
      <c r="C105" s="39">
        <v>274024000</v>
      </c>
      <c r="D105" s="68">
        <f t="shared" si="4"/>
        <v>9.703169065483315E-2</v>
      </c>
    </row>
    <row r="106" spans="1:11" x14ac:dyDescent="0.25">
      <c r="A106" s="38">
        <v>2000</v>
      </c>
      <c r="B106" s="69">
        <f t="shared" si="3"/>
        <v>35.731420999999997</v>
      </c>
      <c r="C106" s="40">
        <v>284968955</v>
      </c>
      <c r="D106" s="68">
        <f t="shared" si="4"/>
        <v>0.12538706540858108</v>
      </c>
    </row>
    <row r="107" spans="1:11" x14ac:dyDescent="0.25">
      <c r="A107" s="37">
        <v>2001</v>
      </c>
      <c r="B107" s="69">
        <f t="shared" si="3"/>
        <v>35.341216000000003</v>
      </c>
      <c r="C107" s="39">
        <v>287625193</v>
      </c>
      <c r="D107" s="68">
        <f t="shared" si="4"/>
        <v>0.12287246340065908</v>
      </c>
    </row>
    <row r="108" spans="1:11" x14ac:dyDescent="0.25">
      <c r="A108" s="38">
        <v>2002</v>
      </c>
      <c r="B108" s="69">
        <f t="shared" si="3"/>
        <v>32.871679999999998</v>
      </c>
      <c r="C108" s="40">
        <v>290107933</v>
      </c>
      <c r="D108" s="68">
        <f t="shared" si="4"/>
        <v>0.11330844923844256</v>
      </c>
    </row>
    <row r="109" spans="1:11" x14ac:dyDescent="0.25">
      <c r="A109" s="37">
        <v>2003</v>
      </c>
      <c r="B109" s="69">
        <f t="shared" si="3"/>
        <v>40.188004999999997</v>
      </c>
      <c r="C109" s="39">
        <v>292805298</v>
      </c>
      <c r="D109" s="68">
        <f t="shared" si="4"/>
        <v>0.13725163197012918</v>
      </c>
    </row>
    <row r="110" spans="1:11" x14ac:dyDescent="0.25">
      <c r="A110" s="38">
        <v>2004</v>
      </c>
      <c r="B110" s="69">
        <f t="shared" si="3"/>
        <v>64.205455000000001</v>
      </c>
      <c r="C110" s="40">
        <v>295516599</v>
      </c>
      <c r="D110" s="68">
        <f t="shared" si="4"/>
        <v>0.21726513914028905</v>
      </c>
    </row>
    <row r="111" spans="1:11" x14ac:dyDescent="0.25">
      <c r="A111" s="37">
        <v>2005</v>
      </c>
      <c r="B111" s="69">
        <f t="shared" si="3"/>
        <v>91.651819000000003</v>
      </c>
      <c r="C111" s="39">
        <v>298379912</v>
      </c>
      <c r="D111" s="68">
        <f t="shared" si="4"/>
        <v>0.30716484359040902</v>
      </c>
    </row>
    <row r="112" spans="1:11" x14ac:dyDescent="0.25">
      <c r="A112" s="38">
        <v>2006</v>
      </c>
      <c r="B112" s="69">
        <f t="shared" si="3"/>
        <v>135.10455300000001</v>
      </c>
      <c r="C112" s="40">
        <v>301231207</v>
      </c>
      <c r="D112" s="68">
        <f t="shared" si="4"/>
        <v>0.44850782342747114</v>
      </c>
    </row>
    <row r="113" spans="1:11" x14ac:dyDescent="0.25">
      <c r="A113" s="37">
        <v>2007</v>
      </c>
      <c r="B113" s="69">
        <f t="shared" si="3"/>
        <v>168.412272</v>
      </c>
      <c r="C113" s="39">
        <v>304093966</v>
      </c>
      <c r="D113" s="68">
        <f t="shared" si="4"/>
        <v>0.55381655287431775</v>
      </c>
    </row>
    <row r="114" spans="1:11" x14ac:dyDescent="0.25">
      <c r="A114" s="38">
        <v>2008</v>
      </c>
      <c r="B114" s="69">
        <f t="shared" si="3"/>
        <v>257.28998200000001</v>
      </c>
      <c r="C114" s="40">
        <v>306771529</v>
      </c>
      <c r="D114" s="68">
        <f t="shared" si="4"/>
        <v>0.83870228387458989</v>
      </c>
    </row>
    <row r="115" spans="1:11" x14ac:dyDescent="0.25">
      <c r="A115" s="37">
        <v>2009</v>
      </c>
      <c r="B115" s="69">
        <f t="shared" si="3"/>
        <v>112.648813</v>
      </c>
      <c r="C115" s="39">
        <v>308745538</v>
      </c>
      <c r="D115" s="68">
        <f t="shared" si="4"/>
        <v>0.36485972794852178</v>
      </c>
    </row>
    <row r="116" spans="1:11" x14ac:dyDescent="0.25">
      <c r="A116" s="38">
        <v>2010</v>
      </c>
      <c r="B116" s="69">
        <f t="shared" si="3"/>
        <v>97.545862999999997</v>
      </c>
      <c r="C116" s="40">
        <v>309347057</v>
      </c>
      <c r="D116" s="68">
        <f t="shared" si="4"/>
        <v>0.31532823989335707</v>
      </c>
    </row>
    <row r="117" spans="1:11" x14ac:dyDescent="0.25">
      <c r="A117" s="37">
        <v>2011</v>
      </c>
      <c r="B117" s="69">
        <f t="shared" si="3"/>
        <v>147.564931</v>
      </c>
      <c r="C117" s="39">
        <v>311721632</v>
      </c>
      <c r="D117" s="68">
        <f t="shared" si="4"/>
        <v>0.4733868806384281</v>
      </c>
    </row>
    <row r="118" spans="1:11" x14ac:dyDescent="0.25">
      <c r="A118" s="38">
        <v>2012</v>
      </c>
      <c r="B118" s="69">
        <f t="shared" si="3"/>
        <v>214.34607099999999</v>
      </c>
      <c r="C118" s="40">
        <v>314112078</v>
      </c>
      <c r="D118" s="68">
        <f t="shared" si="4"/>
        <v>0.68238723058589301</v>
      </c>
    </row>
    <row r="119" spans="1:11" x14ac:dyDescent="0.25">
      <c r="A119" s="37">
        <v>2013</v>
      </c>
      <c r="B119" s="69">
        <f t="shared" si="3"/>
        <v>319.22377799999998</v>
      </c>
      <c r="C119" s="39">
        <v>316497531</v>
      </c>
      <c r="D119" s="68">
        <f t="shared" si="4"/>
        <v>1.0086138017929751</v>
      </c>
    </row>
    <row r="120" spans="1:11" x14ac:dyDescent="0.25">
      <c r="A120" s="38">
        <v>2014</v>
      </c>
      <c r="B120" s="69">
        <f t="shared" si="3"/>
        <v>370.25603999999998</v>
      </c>
      <c r="C120" s="40">
        <v>318857056</v>
      </c>
      <c r="D120" s="68">
        <f t="shared" si="4"/>
        <v>1.1611975743764</v>
      </c>
    </row>
    <row r="121" spans="1:11" x14ac:dyDescent="0.25">
      <c r="A121" s="37">
        <v>2015</v>
      </c>
      <c r="B121" s="69">
        <f t="shared" si="3"/>
        <v>470.23585700000001</v>
      </c>
      <c r="C121" s="39">
        <v>321418820</v>
      </c>
      <c r="D121" s="68">
        <f t="shared" si="4"/>
        <v>1.4630003837360863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</row>
    <row r="126" spans="1:11" ht="60" x14ac:dyDescent="0.25">
      <c r="A126" s="118" t="s">
        <v>3</v>
      </c>
      <c r="B126" s="34" t="s">
        <v>130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 t="str">
        <f t="shared" ref="B127:B151" si="5">B6</f>
        <v>n.d</v>
      </c>
      <c r="C127" s="39">
        <v>253620000</v>
      </c>
      <c r="D127" s="81" t="e">
        <f t="shared" ref="D127:D151" si="6">(B127*1000)/C127</f>
        <v>#VALUE!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69" t="str">
        <f t="shared" si="5"/>
        <v>n.d</v>
      </c>
      <c r="C128" s="40">
        <v>256516000</v>
      </c>
      <c r="D128" s="81" t="e">
        <f t="shared" si="6"/>
        <v>#VALUE!</v>
      </c>
    </row>
    <row r="129" spans="1:4" x14ac:dyDescent="0.25">
      <c r="A129" s="37">
        <v>1993</v>
      </c>
      <c r="B129" s="69">
        <f t="shared" si="5"/>
        <v>0.752</v>
      </c>
      <c r="C129" s="39">
        <v>259131000</v>
      </c>
      <c r="D129" s="81">
        <f t="shared" si="6"/>
        <v>2.9020070929375488E-6</v>
      </c>
    </row>
    <row r="130" spans="1:4" x14ac:dyDescent="0.25">
      <c r="A130" s="38">
        <v>1994</v>
      </c>
      <c r="B130" s="69">
        <f t="shared" si="5"/>
        <v>13.845000000000001</v>
      </c>
      <c r="C130" s="40">
        <v>264061000</v>
      </c>
      <c r="D130" s="81">
        <f t="shared" si="6"/>
        <v>5.2431067064049592E-5</v>
      </c>
    </row>
    <row r="131" spans="1:4" x14ac:dyDescent="0.25">
      <c r="A131" s="37">
        <v>1995</v>
      </c>
      <c r="B131" s="69" t="str">
        <f t="shared" si="5"/>
        <v>n.d</v>
      </c>
      <c r="C131" s="39">
        <v>266398000</v>
      </c>
      <c r="D131" s="81" t="e">
        <f t="shared" si="6"/>
        <v>#VALUE!</v>
      </c>
    </row>
    <row r="132" spans="1:4" x14ac:dyDescent="0.25">
      <c r="A132" s="38">
        <v>1996</v>
      </c>
      <c r="B132" s="69">
        <f t="shared" si="5"/>
        <v>14.885</v>
      </c>
      <c r="C132" s="40">
        <v>268930000</v>
      </c>
      <c r="D132" s="81">
        <f t="shared" si="6"/>
        <v>5.5348975569850888E-5</v>
      </c>
    </row>
    <row r="133" spans="1:4" x14ac:dyDescent="0.25">
      <c r="A133" s="37">
        <v>1997</v>
      </c>
      <c r="B133" s="69">
        <f t="shared" si="5"/>
        <v>4.58</v>
      </c>
      <c r="C133" s="39">
        <v>271387000</v>
      </c>
      <c r="D133" s="81">
        <f t="shared" si="6"/>
        <v>1.6876268944348846E-5</v>
      </c>
    </row>
    <row r="134" spans="1:4" x14ac:dyDescent="0.25">
      <c r="A134" s="38">
        <v>1998</v>
      </c>
      <c r="B134" s="69">
        <f t="shared" si="5"/>
        <v>12.704000000000001</v>
      </c>
      <c r="C134" s="40">
        <v>271584000</v>
      </c>
      <c r="D134" s="81">
        <f t="shared" si="6"/>
        <v>4.6777424295982093E-5</v>
      </c>
    </row>
    <row r="135" spans="1:4" x14ac:dyDescent="0.25">
      <c r="A135" s="37">
        <v>1999</v>
      </c>
      <c r="B135" s="69" t="str">
        <f t="shared" si="5"/>
        <v>n.d</v>
      </c>
      <c r="C135" s="39">
        <v>274024000</v>
      </c>
      <c r="D135" s="81" t="e">
        <f t="shared" si="6"/>
        <v>#VALUE!</v>
      </c>
    </row>
    <row r="136" spans="1:4" x14ac:dyDescent="0.25">
      <c r="A136" s="38">
        <v>2000</v>
      </c>
      <c r="B136" s="69" t="str">
        <f t="shared" si="5"/>
        <v>n.d</v>
      </c>
      <c r="C136" s="40">
        <v>284968955</v>
      </c>
      <c r="D136" s="81" t="e">
        <f t="shared" si="6"/>
        <v>#VALUE!</v>
      </c>
    </row>
    <row r="137" spans="1:4" x14ac:dyDescent="0.25">
      <c r="A137" s="37">
        <v>2001</v>
      </c>
      <c r="B137" s="69" t="str">
        <f t="shared" si="5"/>
        <v>n.d</v>
      </c>
      <c r="C137" s="39">
        <v>287625193</v>
      </c>
      <c r="D137" s="81" t="e">
        <f t="shared" si="6"/>
        <v>#VALUE!</v>
      </c>
    </row>
    <row r="138" spans="1:4" x14ac:dyDescent="0.25">
      <c r="A138" s="38">
        <v>2002</v>
      </c>
      <c r="B138" s="69">
        <f t="shared" si="5"/>
        <v>71.614000000000004</v>
      </c>
      <c r="C138" s="40">
        <v>290107933</v>
      </c>
      <c r="D138" s="81">
        <f t="shared" si="6"/>
        <v>2.4685295317312126E-4</v>
      </c>
    </row>
    <row r="139" spans="1:4" x14ac:dyDescent="0.25">
      <c r="A139" s="37">
        <v>2003</v>
      </c>
      <c r="B139" s="69">
        <f t="shared" si="5"/>
        <v>56.762</v>
      </c>
      <c r="C139" s="39">
        <v>292805298</v>
      </c>
      <c r="D139" s="81">
        <f t="shared" si="6"/>
        <v>1.938557819401205E-4</v>
      </c>
    </row>
    <row r="140" spans="1:4" x14ac:dyDescent="0.25">
      <c r="A140" s="38">
        <v>2004</v>
      </c>
      <c r="B140" s="69">
        <f t="shared" si="5"/>
        <v>113.514</v>
      </c>
      <c r="C140" s="40">
        <v>295516599</v>
      </c>
      <c r="D140" s="81">
        <f t="shared" si="6"/>
        <v>3.8412055493370104E-4</v>
      </c>
    </row>
    <row r="141" spans="1:4" x14ac:dyDescent="0.25">
      <c r="A141" s="37">
        <v>2005</v>
      </c>
      <c r="B141" s="69">
        <f t="shared" si="5"/>
        <v>216.98099999999999</v>
      </c>
      <c r="C141" s="39">
        <v>298379912</v>
      </c>
      <c r="D141" s="81">
        <f t="shared" si="6"/>
        <v>7.2719707752980371E-4</v>
      </c>
    </row>
    <row r="142" spans="1:4" x14ac:dyDescent="0.25">
      <c r="A142" s="38">
        <v>2006</v>
      </c>
      <c r="B142" s="69">
        <f t="shared" si="5"/>
        <v>418.16500000000002</v>
      </c>
      <c r="C142" s="40">
        <v>301231207</v>
      </c>
      <c r="D142" s="81">
        <f t="shared" si="6"/>
        <v>1.3881861848397401E-3</v>
      </c>
    </row>
    <row r="143" spans="1:4" x14ac:dyDescent="0.25">
      <c r="A143" s="37">
        <v>2007</v>
      </c>
      <c r="B143" s="69">
        <f t="shared" si="5"/>
        <v>407.47699999999998</v>
      </c>
      <c r="C143" s="39">
        <v>304093966</v>
      </c>
      <c r="D143" s="81">
        <f t="shared" si="6"/>
        <v>1.3399706852453626E-3</v>
      </c>
    </row>
    <row r="144" spans="1:4" x14ac:dyDescent="0.25">
      <c r="A144" s="38">
        <v>2008</v>
      </c>
      <c r="B144" s="69">
        <f t="shared" si="5"/>
        <v>811.77499999999998</v>
      </c>
      <c r="C144" s="40">
        <v>306771529</v>
      </c>
      <c r="D144" s="81">
        <f t="shared" si="6"/>
        <v>2.6461875476064796E-3</v>
      </c>
    </row>
    <row r="145" spans="1:10" x14ac:dyDescent="0.25">
      <c r="A145" s="37">
        <v>2009</v>
      </c>
      <c r="B145" s="69">
        <f t="shared" si="5"/>
        <v>300.98</v>
      </c>
      <c r="C145" s="39">
        <v>308745538</v>
      </c>
      <c r="D145" s="81">
        <f t="shared" si="6"/>
        <v>9.7484809642819838E-4</v>
      </c>
    </row>
    <row r="146" spans="1:10" x14ac:dyDescent="0.25">
      <c r="A146" s="38">
        <v>2010</v>
      </c>
      <c r="B146" s="69">
        <f t="shared" si="5"/>
        <v>621.55600000000004</v>
      </c>
      <c r="C146" s="40">
        <v>309347057</v>
      </c>
      <c r="D146" s="81">
        <f t="shared" si="6"/>
        <v>2.0092513761978347E-3</v>
      </c>
    </row>
    <row r="147" spans="1:10" x14ac:dyDescent="0.25">
      <c r="A147" s="37">
        <v>2011</v>
      </c>
      <c r="B147" s="69">
        <f t="shared" si="5"/>
        <v>607.07799999999997</v>
      </c>
      <c r="C147" s="39">
        <v>311721632</v>
      </c>
      <c r="D147" s="81">
        <f t="shared" si="6"/>
        <v>1.9475003903482706E-3</v>
      </c>
    </row>
    <row r="148" spans="1:10" x14ac:dyDescent="0.25">
      <c r="A148" s="38">
        <v>2012</v>
      </c>
      <c r="B148" s="69">
        <f t="shared" si="5"/>
        <v>342.78100000000001</v>
      </c>
      <c r="C148" s="40">
        <v>314112078</v>
      </c>
      <c r="D148" s="81">
        <f t="shared" si="6"/>
        <v>1.0912697218857022E-3</v>
      </c>
    </row>
    <row r="149" spans="1:10" x14ac:dyDescent="0.25">
      <c r="A149" s="37">
        <v>2013</v>
      </c>
      <c r="B149" s="69">
        <f t="shared" si="5"/>
        <v>876.74400000000003</v>
      </c>
      <c r="C149" s="39">
        <v>316497531</v>
      </c>
      <c r="D149" s="81">
        <f t="shared" si="6"/>
        <v>2.7701448325042383E-3</v>
      </c>
    </row>
    <row r="150" spans="1:10" x14ac:dyDescent="0.25">
      <c r="A150" s="38">
        <v>2014</v>
      </c>
      <c r="B150" s="69">
        <f t="shared" si="5"/>
        <v>233.03800000000001</v>
      </c>
      <c r="C150" s="40">
        <v>318857056</v>
      </c>
      <c r="D150" s="81">
        <f t="shared" si="6"/>
        <v>7.3085414173804574E-4</v>
      </c>
    </row>
    <row r="151" spans="1:10" x14ac:dyDescent="0.25">
      <c r="A151" s="37">
        <v>2015</v>
      </c>
      <c r="B151" s="69">
        <f t="shared" si="5"/>
        <v>1012.679</v>
      </c>
      <c r="C151" s="39">
        <v>321418820</v>
      </c>
      <c r="D151" s="81">
        <f t="shared" si="6"/>
        <v>3.15065247268346E-3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118" t="s">
        <v>3</v>
      </c>
      <c r="B155" s="34" t="s">
        <v>67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88" t="e">
        <f t="shared" ref="B156:B180" si="7">B65</f>
        <v>#VALUE!</v>
      </c>
      <c r="C156" s="39">
        <v>253620000</v>
      </c>
      <c r="D156" s="81" t="e">
        <f t="shared" ref="D156:D180" si="8">(B156/C156)*1000000</f>
        <v>#VALUE!</v>
      </c>
    </row>
    <row r="157" spans="1:10" x14ac:dyDescent="0.25">
      <c r="A157" s="38">
        <v>1992</v>
      </c>
      <c r="B157" s="88" t="e">
        <f t="shared" si="7"/>
        <v>#VALUE!</v>
      </c>
      <c r="C157" s="40">
        <v>256516000</v>
      </c>
      <c r="D157" s="81" t="e">
        <f t="shared" si="8"/>
        <v>#VALUE!</v>
      </c>
    </row>
    <row r="158" spans="1:10" x14ac:dyDescent="0.25">
      <c r="A158" s="37">
        <v>1993</v>
      </c>
      <c r="B158" s="88">
        <f t="shared" si="7"/>
        <v>28.761523999999998</v>
      </c>
      <c r="C158" s="39">
        <v>259131000</v>
      </c>
      <c r="D158" s="81">
        <f t="shared" si="8"/>
        <v>0.11099221629214567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88">
        <f t="shared" si="7"/>
        <v>53.290269000000002</v>
      </c>
      <c r="C159" s="40">
        <v>264061000</v>
      </c>
      <c r="D159" s="81">
        <f t="shared" si="8"/>
        <v>0.20181044910077597</v>
      </c>
    </row>
    <row r="160" spans="1:10" x14ac:dyDescent="0.25">
      <c r="A160" s="37">
        <v>1995</v>
      </c>
      <c r="B160" s="88" t="e">
        <f t="shared" si="7"/>
        <v>#VALUE!</v>
      </c>
      <c r="C160" s="39">
        <v>266398000</v>
      </c>
      <c r="D160" s="81" t="e">
        <f t="shared" si="8"/>
        <v>#VALUE!</v>
      </c>
    </row>
    <row r="161" spans="1:4" x14ac:dyDescent="0.25">
      <c r="A161" s="38">
        <v>1996</v>
      </c>
      <c r="B161" s="88">
        <f t="shared" si="7"/>
        <v>93.823773000000003</v>
      </c>
      <c r="C161" s="40">
        <v>268930000</v>
      </c>
      <c r="D161" s="81">
        <f t="shared" si="8"/>
        <v>0.34887804633175917</v>
      </c>
    </row>
    <row r="162" spans="1:4" x14ac:dyDescent="0.25">
      <c r="A162" s="37">
        <v>1997</v>
      </c>
      <c r="B162" s="88">
        <f t="shared" si="7"/>
        <v>85.499276000000009</v>
      </c>
      <c r="C162" s="39">
        <v>271387000</v>
      </c>
      <c r="D162" s="81">
        <f t="shared" si="8"/>
        <v>0.31504558435002417</v>
      </c>
    </row>
    <row r="163" spans="1:4" x14ac:dyDescent="0.25">
      <c r="A163" s="38">
        <v>1998</v>
      </c>
      <c r="B163" s="88">
        <f t="shared" si="7"/>
        <v>73.790592000000004</v>
      </c>
      <c r="C163" s="40">
        <v>271584000</v>
      </c>
      <c r="D163" s="81">
        <f t="shared" si="8"/>
        <v>0.27170448921880525</v>
      </c>
    </row>
    <row r="164" spans="1:4" x14ac:dyDescent="0.25">
      <c r="A164" s="37">
        <v>1999</v>
      </c>
      <c r="B164" s="88" t="e">
        <f t="shared" si="7"/>
        <v>#VALUE!</v>
      </c>
      <c r="C164" s="39">
        <v>274024000</v>
      </c>
      <c r="D164" s="81" t="e">
        <f t="shared" si="8"/>
        <v>#VALUE!</v>
      </c>
    </row>
    <row r="165" spans="1:4" x14ac:dyDescent="0.25">
      <c r="A165" s="38">
        <v>2000</v>
      </c>
      <c r="B165" s="88" t="e">
        <f t="shared" si="7"/>
        <v>#VALUE!</v>
      </c>
      <c r="C165" s="40">
        <v>284968955</v>
      </c>
      <c r="D165" s="81" t="e">
        <f t="shared" si="8"/>
        <v>#VALUE!</v>
      </c>
    </row>
    <row r="166" spans="1:4" x14ac:dyDescent="0.25">
      <c r="A166" s="37">
        <v>2001</v>
      </c>
      <c r="B166" s="88" t="e">
        <f t="shared" si="7"/>
        <v>#VALUE!</v>
      </c>
      <c r="C166" s="39">
        <v>287625193</v>
      </c>
      <c r="D166" s="81" t="e">
        <f t="shared" si="8"/>
        <v>#VALUE!</v>
      </c>
    </row>
    <row r="167" spans="1:4" x14ac:dyDescent="0.25">
      <c r="A167" s="38">
        <v>2002</v>
      </c>
      <c r="B167" s="88">
        <f t="shared" si="7"/>
        <v>32.943293999999995</v>
      </c>
      <c r="C167" s="40">
        <v>290107933</v>
      </c>
      <c r="D167" s="81">
        <f t="shared" si="8"/>
        <v>0.11355530219161568</v>
      </c>
    </row>
    <row r="168" spans="1:4" x14ac:dyDescent="0.25">
      <c r="A168" s="37">
        <v>2003</v>
      </c>
      <c r="B168" s="88">
        <f t="shared" si="7"/>
        <v>40.244766999999996</v>
      </c>
      <c r="C168" s="39">
        <v>292805298</v>
      </c>
      <c r="D168" s="81">
        <f t="shared" si="8"/>
        <v>0.13744548775206927</v>
      </c>
    </row>
    <row r="169" spans="1:4" x14ac:dyDescent="0.25">
      <c r="A169" s="38">
        <v>2004</v>
      </c>
      <c r="B169" s="88">
        <f t="shared" si="7"/>
        <v>64.318968999999996</v>
      </c>
      <c r="C169" s="40">
        <v>295516599</v>
      </c>
      <c r="D169" s="81">
        <f t="shared" si="8"/>
        <v>0.21764925969522272</v>
      </c>
    </row>
    <row r="170" spans="1:4" x14ac:dyDescent="0.25">
      <c r="A170" s="37">
        <v>2005</v>
      </c>
      <c r="B170" s="88">
        <f t="shared" si="7"/>
        <v>91.868800000000007</v>
      </c>
      <c r="C170" s="39">
        <v>298379912</v>
      </c>
      <c r="D170" s="81">
        <f t="shared" si="8"/>
        <v>0.30789204066793879</v>
      </c>
    </row>
    <row r="171" spans="1:4" x14ac:dyDescent="0.25">
      <c r="A171" s="38">
        <v>2006</v>
      </c>
      <c r="B171" s="88">
        <f t="shared" si="7"/>
        <v>135.522718</v>
      </c>
      <c r="C171" s="40">
        <v>301231207</v>
      </c>
      <c r="D171" s="81">
        <f t="shared" si="8"/>
        <v>0.44989600961231085</v>
      </c>
    </row>
    <row r="172" spans="1:4" x14ac:dyDescent="0.25">
      <c r="A172" s="37">
        <v>2007</v>
      </c>
      <c r="B172" s="88">
        <f t="shared" si="7"/>
        <v>168.819749</v>
      </c>
      <c r="C172" s="39">
        <v>304093966</v>
      </c>
      <c r="D172" s="81">
        <f t="shared" si="8"/>
        <v>0.55515652355956313</v>
      </c>
    </row>
    <row r="173" spans="1:4" x14ac:dyDescent="0.25">
      <c r="A173" s="38">
        <v>2008</v>
      </c>
      <c r="B173" s="88">
        <f t="shared" si="7"/>
        <v>258.10175700000002</v>
      </c>
      <c r="C173" s="40">
        <v>306771529</v>
      </c>
      <c r="D173" s="81">
        <f t="shared" si="8"/>
        <v>0.84134847142219649</v>
      </c>
    </row>
    <row r="174" spans="1:4" x14ac:dyDescent="0.25">
      <c r="A174" s="37">
        <v>2009</v>
      </c>
      <c r="B174" s="88">
        <f t="shared" si="7"/>
        <v>112.949793</v>
      </c>
      <c r="C174" s="39">
        <v>308745538</v>
      </c>
      <c r="D174" s="81">
        <f t="shared" si="8"/>
        <v>0.36583457604495001</v>
      </c>
    </row>
    <row r="175" spans="1:4" x14ac:dyDescent="0.25">
      <c r="A175" s="38">
        <v>2010</v>
      </c>
      <c r="B175" s="88">
        <f t="shared" si="7"/>
        <v>98.167418999999995</v>
      </c>
      <c r="C175" s="40">
        <v>309347057</v>
      </c>
      <c r="D175" s="81">
        <f t="shared" si="8"/>
        <v>0.31733749126955485</v>
      </c>
    </row>
    <row r="176" spans="1:4" x14ac:dyDescent="0.25">
      <c r="A176" s="37">
        <v>2011</v>
      </c>
      <c r="B176" s="88">
        <f t="shared" si="7"/>
        <v>148.172009</v>
      </c>
      <c r="C176" s="39">
        <v>311721632</v>
      </c>
      <c r="D176" s="81">
        <f t="shared" si="8"/>
        <v>0.4753343810287764</v>
      </c>
    </row>
    <row r="177" spans="1:4" x14ac:dyDescent="0.25">
      <c r="A177" s="38">
        <v>2012</v>
      </c>
      <c r="B177" s="88">
        <f t="shared" si="7"/>
        <v>214.688852</v>
      </c>
      <c r="C177" s="40">
        <v>314112078</v>
      </c>
      <c r="D177" s="81">
        <f t="shared" si="8"/>
        <v>0.68347850030777868</v>
      </c>
    </row>
    <row r="178" spans="1:4" x14ac:dyDescent="0.25">
      <c r="A178" s="37">
        <v>2013</v>
      </c>
      <c r="B178" s="88">
        <f t="shared" si="7"/>
        <v>320.10052199999996</v>
      </c>
      <c r="C178" s="39">
        <v>316497531</v>
      </c>
      <c r="D178" s="81">
        <f t="shared" si="8"/>
        <v>1.0113839466254793</v>
      </c>
    </row>
    <row r="179" spans="1:4" x14ac:dyDescent="0.25">
      <c r="A179" s="38">
        <v>2014</v>
      </c>
      <c r="B179" s="88">
        <f t="shared" si="7"/>
        <v>370.48907800000001</v>
      </c>
      <c r="C179" s="40">
        <v>318857056</v>
      </c>
      <c r="D179" s="81">
        <f t="shared" si="8"/>
        <v>1.1619284285181384</v>
      </c>
    </row>
    <row r="180" spans="1:4" x14ac:dyDescent="0.25">
      <c r="A180" s="37">
        <v>2015</v>
      </c>
      <c r="B180" s="88">
        <f t="shared" si="7"/>
        <v>471.248536</v>
      </c>
      <c r="C180" s="39">
        <v>321418820</v>
      </c>
      <c r="D180" s="81">
        <f t="shared" si="8"/>
        <v>1.4661510362087695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topLeftCell="A73" zoomScale="110" zoomScaleNormal="110" workbookViewId="0">
      <selection activeCell="D90" sqref="D90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  <col min="12" max="12" width="12.28515625" bestFit="1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121</v>
      </c>
      <c r="D5" s="13" t="s">
        <v>14</v>
      </c>
      <c r="E5" s="14" t="s">
        <v>4</v>
      </c>
    </row>
    <row r="6" spans="2:12" x14ac:dyDescent="0.25">
      <c r="B6" s="10">
        <v>1991</v>
      </c>
      <c r="C6" s="69" t="str">
        <f>'Export 08'!B2</f>
        <v>n.d</v>
      </c>
      <c r="D6" s="2">
        <v>30.88664</v>
      </c>
      <c r="E6" s="77" t="e">
        <f t="shared" ref="E6:E30" si="0">(C6/D6)/100000000000</f>
        <v>#VALUE!</v>
      </c>
    </row>
    <row r="7" spans="2:12" x14ac:dyDescent="0.25">
      <c r="B7" s="10">
        <v>1992</v>
      </c>
      <c r="C7" s="69" t="str">
        <f>'Export 08'!B3</f>
        <v>n.d</v>
      </c>
      <c r="D7" s="2">
        <v>36.748779999999996</v>
      </c>
      <c r="E7" s="77" t="e">
        <f t="shared" si="0"/>
        <v>#VALUE!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69">
        <f>'Export 08'!B4</f>
        <v>0.752</v>
      </c>
      <c r="D8" s="2">
        <v>54.163779999999996</v>
      </c>
      <c r="E8" s="77">
        <f t="shared" si="0"/>
        <v>1.3883816823715036E-13</v>
      </c>
    </row>
    <row r="9" spans="2:12" x14ac:dyDescent="0.25">
      <c r="B9" s="10">
        <v>1994</v>
      </c>
      <c r="C9" s="69">
        <f>'Export 08'!B5</f>
        <v>13.845000000000001</v>
      </c>
      <c r="D9" s="2">
        <v>82.613830000000007</v>
      </c>
      <c r="E9" s="77">
        <f t="shared" si="0"/>
        <v>1.675869524509395E-12</v>
      </c>
    </row>
    <row r="10" spans="2:12" x14ac:dyDescent="0.25">
      <c r="B10" s="10">
        <v>1995</v>
      </c>
      <c r="C10" s="69" t="str">
        <f>'Export 08'!B6</f>
        <v>n.d</v>
      </c>
      <c r="D10" s="2">
        <v>97.478279999999998</v>
      </c>
      <c r="E10" s="77" t="e">
        <f t="shared" si="0"/>
        <v>#VALUE!</v>
      </c>
    </row>
    <row r="11" spans="2:12" x14ac:dyDescent="0.25">
      <c r="B11" s="10">
        <v>1996</v>
      </c>
      <c r="C11" s="69">
        <f>'Export 08'!B7</f>
        <v>14.885</v>
      </c>
      <c r="D11" s="2">
        <v>137.40472</v>
      </c>
      <c r="E11" s="77">
        <f t="shared" si="0"/>
        <v>1.0832961196675049E-12</v>
      </c>
    </row>
    <row r="12" spans="2:12" x14ac:dyDescent="0.25">
      <c r="B12" s="10">
        <v>1997</v>
      </c>
      <c r="C12" s="69">
        <f>'Export 08'!B8</f>
        <v>4.58</v>
      </c>
      <c r="D12" s="2">
        <v>168.40043</v>
      </c>
      <c r="E12" s="77">
        <f t="shared" si="0"/>
        <v>2.7197080197479305E-13</v>
      </c>
    </row>
    <row r="13" spans="2:12" x14ac:dyDescent="0.25">
      <c r="B13" s="10">
        <v>1998</v>
      </c>
      <c r="C13" s="69">
        <f>'Export 08'!B9</f>
        <v>12.704000000000001</v>
      </c>
      <c r="D13" s="2">
        <v>184.64424</v>
      </c>
      <c r="E13" s="77">
        <f t="shared" si="0"/>
        <v>6.8802579490159025E-13</v>
      </c>
    </row>
    <row r="14" spans="2:12" x14ac:dyDescent="0.25">
      <c r="B14" s="10">
        <v>1999</v>
      </c>
      <c r="C14" s="69" t="str">
        <f>'Export 08'!B10</f>
        <v>n.d</v>
      </c>
      <c r="D14" s="2">
        <v>182.49723999999998</v>
      </c>
      <c r="E14" s="77" t="e">
        <f t="shared" si="0"/>
        <v>#VALUE!</v>
      </c>
    </row>
    <row r="15" spans="2:12" x14ac:dyDescent="0.25">
      <c r="B15" s="10">
        <v>2000</v>
      </c>
      <c r="C15" s="69" t="str">
        <f>'Export 08'!B11</f>
        <v>n.d</v>
      </c>
      <c r="D15" s="2">
        <v>173.83799999999999</v>
      </c>
      <c r="E15" s="77" t="e">
        <f t="shared" si="0"/>
        <v>#VALUE!</v>
      </c>
    </row>
    <row r="16" spans="2:12" x14ac:dyDescent="0.25">
      <c r="B16" s="10">
        <v>2001</v>
      </c>
      <c r="C16" s="69" t="str">
        <f>'Export 08'!B12</f>
        <v>n.d</v>
      </c>
      <c r="D16" s="2">
        <v>169.57254999999998</v>
      </c>
      <c r="E16" s="77" t="e">
        <f t="shared" si="0"/>
        <v>#VALUE!</v>
      </c>
    </row>
    <row r="17" spans="2:5" x14ac:dyDescent="0.25">
      <c r="B17" s="10">
        <v>2002</v>
      </c>
      <c r="C17" s="69">
        <f>'Export 08'!B13</f>
        <v>71.614000000000004</v>
      </c>
      <c r="D17" s="2">
        <v>193.08387999999999</v>
      </c>
      <c r="E17" s="77">
        <f t="shared" si="0"/>
        <v>3.7089579927645951E-12</v>
      </c>
    </row>
    <row r="18" spans="2:5" x14ac:dyDescent="0.25">
      <c r="B18" s="10">
        <v>2003</v>
      </c>
      <c r="C18" s="69">
        <f>'Export 08'!B14</f>
        <v>56.762</v>
      </c>
      <c r="D18" s="2">
        <v>203.78914</v>
      </c>
      <c r="E18" s="77">
        <f t="shared" si="0"/>
        <v>2.7853299739132319E-12</v>
      </c>
    </row>
    <row r="19" spans="2:5" x14ac:dyDescent="0.25">
      <c r="B19" s="10">
        <v>2004</v>
      </c>
      <c r="C19" s="69">
        <f>'Export 08'!B15</f>
        <v>113.514</v>
      </c>
      <c r="D19" s="2">
        <v>220.41551999999999</v>
      </c>
      <c r="E19" s="77">
        <f t="shared" si="0"/>
        <v>5.1500003266557634E-12</v>
      </c>
    </row>
    <row r="20" spans="2:5" x14ac:dyDescent="0.25">
      <c r="B20" s="10">
        <v>2005</v>
      </c>
      <c r="C20" s="69">
        <f>'Export 08'!B16</f>
        <v>216.98099999999999</v>
      </c>
      <c r="D20" s="2">
        <v>255.02369000000002</v>
      </c>
      <c r="E20" s="77">
        <f t="shared" si="0"/>
        <v>8.5082683887132211E-12</v>
      </c>
    </row>
    <row r="21" spans="2:5" x14ac:dyDescent="0.25">
      <c r="B21" s="10">
        <v>2006</v>
      </c>
      <c r="C21" s="69">
        <f>'Export 08'!B17</f>
        <v>418.16500000000002</v>
      </c>
      <c r="D21" s="2">
        <v>289.62955999999997</v>
      </c>
      <c r="E21" s="77">
        <f t="shared" si="0"/>
        <v>1.4437925465895127E-11</v>
      </c>
    </row>
    <row r="22" spans="2:5" x14ac:dyDescent="0.25">
      <c r="B22" s="10">
        <v>2007</v>
      </c>
      <c r="C22" s="69">
        <f>'Export 08'!B18</f>
        <v>407.47699999999998</v>
      </c>
      <c r="D22" s="2">
        <v>315.86653999999999</v>
      </c>
      <c r="E22" s="77">
        <f t="shared" si="0"/>
        <v>1.2900290103535499E-11</v>
      </c>
    </row>
    <row r="23" spans="2:5" x14ac:dyDescent="0.25">
      <c r="B23" s="10">
        <v>2008</v>
      </c>
      <c r="C23" s="69">
        <f>'Export 08'!B19</f>
        <v>811.77499999999998</v>
      </c>
      <c r="D23" s="2">
        <v>356.99453000000005</v>
      </c>
      <c r="E23" s="77">
        <f t="shared" si="0"/>
        <v>2.2739143930300551E-11</v>
      </c>
    </row>
    <row r="24" spans="2:5" x14ac:dyDescent="0.25">
      <c r="B24" s="10">
        <v>2009</v>
      </c>
      <c r="C24" s="69">
        <f>'Export 08'!B20</f>
        <v>300.98</v>
      </c>
      <c r="D24" s="2">
        <v>413.96373999999997</v>
      </c>
      <c r="E24" s="77">
        <f t="shared" si="0"/>
        <v>7.2706851087972112E-12</v>
      </c>
    </row>
    <row r="25" spans="2:5" x14ac:dyDescent="0.25">
      <c r="B25" s="10">
        <v>2010</v>
      </c>
      <c r="C25" s="69">
        <f>'Export 08'!B21</f>
        <v>621.55600000000004</v>
      </c>
      <c r="D25" s="2">
        <v>476.72912000000002</v>
      </c>
      <c r="E25" s="77">
        <f t="shared" si="0"/>
        <v>1.3037928121529476E-11</v>
      </c>
    </row>
    <row r="26" spans="2:5" x14ac:dyDescent="0.25">
      <c r="B26" s="10">
        <v>2011</v>
      </c>
      <c r="C26" s="69">
        <f>'Export 08'!B22</f>
        <v>607.07799999999997</v>
      </c>
      <c r="D26" s="2">
        <v>449.90528999999998</v>
      </c>
      <c r="E26" s="77">
        <f t="shared" si="0"/>
        <v>1.349346214622193E-11</v>
      </c>
    </row>
    <row r="27" spans="2:5" x14ac:dyDescent="0.25">
      <c r="B27" s="10">
        <v>2012</v>
      </c>
      <c r="C27" s="69">
        <f>'Export 08'!B23</f>
        <v>342.78100000000001</v>
      </c>
      <c r="D27" s="2">
        <v>494.70812999999998</v>
      </c>
      <c r="E27" s="77">
        <f t="shared" si="0"/>
        <v>6.9289542502566113E-12</v>
      </c>
    </row>
    <row r="28" spans="2:5" x14ac:dyDescent="0.25">
      <c r="B28" s="10">
        <v>2013</v>
      </c>
      <c r="C28" s="69">
        <f>'Export 08'!B24</f>
        <v>876.74400000000003</v>
      </c>
      <c r="D28" s="2">
        <v>585.44633999999996</v>
      </c>
      <c r="E28" s="77">
        <f t="shared" si="0"/>
        <v>1.497565088544238E-11</v>
      </c>
    </row>
    <row r="29" spans="2:5" x14ac:dyDescent="0.25">
      <c r="B29" s="10">
        <v>2014</v>
      </c>
      <c r="C29" s="69">
        <f>'Export 08'!B25</f>
        <v>233.03800000000001</v>
      </c>
      <c r="D29" s="2">
        <v>607.30944999999997</v>
      </c>
      <c r="E29" s="77">
        <f t="shared" si="0"/>
        <v>3.8372200531376553E-12</v>
      </c>
    </row>
    <row r="30" spans="2:5" x14ac:dyDescent="0.25">
      <c r="B30" s="11">
        <v>2015</v>
      </c>
      <c r="C30" s="69">
        <f>'Export 08'!B26</f>
        <v>1012.679</v>
      </c>
      <c r="D30" s="2">
        <v>645.33130000000006</v>
      </c>
      <c r="E30" s="77">
        <f t="shared" si="0"/>
        <v>1.5692389320028329E-11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</row>
    <row r="36" spans="2:12" ht="60" x14ac:dyDescent="0.25">
      <c r="B36" s="12" t="s">
        <v>3</v>
      </c>
      <c r="C36" s="13" t="s">
        <v>16</v>
      </c>
      <c r="D36" s="13" t="s">
        <v>14</v>
      </c>
      <c r="E36" s="14" t="s">
        <v>81</v>
      </c>
    </row>
    <row r="37" spans="2:12" x14ac:dyDescent="0.25">
      <c r="B37" s="10">
        <v>1991</v>
      </c>
      <c r="C37" s="69">
        <f>' Per Cápita 08'!B36</f>
        <v>3.950151</v>
      </c>
      <c r="D37" s="2">
        <v>30.88664</v>
      </c>
      <c r="E37" s="64">
        <f t="shared" ref="E37:E61" si="1">(C37/D37)/1000000000</f>
        <v>1.2789189759714881E-10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69">
        <f>' Per Cápita 08'!B37</f>
        <v>16.932155999999999</v>
      </c>
      <c r="D38" s="2">
        <v>36.748779999999996</v>
      </c>
      <c r="E38" s="64">
        <f t="shared" si="1"/>
        <v>4.6075423456234466E-10</v>
      </c>
    </row>
    <row r="39" spans="2:12" x14ac:dyDescent="0.25">
      <c r="B39" s="10">
        <v>1993</v>
      </c>
      <c r="C39" s="69">
        <f>' Per Cápita 08'!B38</f>
        <v>28.760771999999999</v>
      </c>
      <c r="D39" s="2">
        <v>54.163779999999996</v>
      </c>
      <c r="E39" s="64">
        <f t="shared" si="1"/>
        <v>5.3099639648488349E-10</v>
      </c>
    </row>
    <row r="40" spans="2:12" x14ac:dyDescent="0.25">
      <c r="B40" s="10">
        <v>1994</v>
      </c>
      <c r="C40" s="69">
        <f>' Per Cápita 08'!B39</f>
        <v>53.276423999999999</v>
      </c>
      <c r="D40" s="2">
        <v>82.613830000000007</v>
      </c>
      <c r="E40" s="64">
        <f t="shared" si="1"/>
        <v>6.4488505132857284E-10</v>
      </c>
    </row>
    <row r="41" spans="2:12" x14ac:dyDescent="0.25">
      <c r="B41" s="10">
        <v>1995</v>
      </c>
      <c r="C41" s="69">
        <f>' Per Cápita 08'!B40</f>
        <v>45.640956000000003</v>
      </c>
      <c r="D41" s="2">
        <v>97.478279999999998</v>
      </c>
      <c r="E41" s="64">
        <f t="shared" si="1"/>
        <v>4.6821667349895798E-10</v>
      </c>
    </row>
    <row r="42" spans="2:12" x14ac:dyDescent="0.25">
      <c r="B42" s="10">
        <v>1996</v>
      </c>
      <c r="C42" s="69">
        <f>' Per Cápita 08'!B41</f>
        <v>93.808887999999996</v>
      </c>
      <c r="D42" s="2">
        <v>137.40472</v>
      </c>
      <c r="E42" s="64">
        <f t="shared" si="1"/>
        <v>6.8271954558766244E-10</v>
      </c>
    </row>
    <row r="43" spans="2:12" x14ac:dyDescent="0.25">
      <c r="B43" s="10">
        <v>1997</v>
      </c>
      <c r="C43" s="69">
        <f>' Per Cápita 08'!B42</f>
        <v>85.494696000000005</v>
      </c>
      <c r="D43" s="2">
        <v>168.40043</v>
      </c>
      <c r="E43" s="64">
        <f t="shared" si="1"/>
        <v>5.0768692217709901E-10</v>
      </c>
    </row>
    <row r="44" spans="2:12" x14ac:dyDescent="0.25">
      <c r="B44" s="10">
        <v>1998</v>
      </c>
      <c r="C44" s="69">
        <f>' Per Cápita 08'!B43</f>
        <v>73.777888000000004</v>
      </c>
      <c r="D44" s="2">
        <v>184.64424</v>
      </c>
      <c r="E44" s="64">
        <f t="shared" si="1"/>
        <v>3.9956777422355556E-10</v>
      </c>
    </row>
    <row r="45" spans="2:12" x14ac:dyDescent="0.25">
      <c r="B45" s="10">
        <v>1999</v>
      </c>
      <c r="C45" s="69">
        <f>' Per Cápita 08'!B44</f>
        <v>26.589012</v>
      </c>
      <c r="D45" s="2">
        <v>182.49723999999998</v>
      </c>
      <c r="E45" s="64">
        <f t="shared" si="1"/>
        <v>1.456954198321027E-10</v>
      </c>
    </row>
    <row r="46" spans="2:12" x14ac:dyDescent="0.25">
      <c r="B46" s="10">
        <v>2000</v>
      </c>
      <c r="C46" s="69">
        <f>' Per Cápita 08'!B45</f>
        <v>35.731420999999997</v>
      </c>
      <c r="D46" s="2">
        <v>173.83799999999999</v>
      </c>
      <c r="E46" s="64">
        <f t="shared" si="1"/>
        <v>2.0554436314269606E-10</v>
      </c>
    </row>
    <row r="47" spans="2:12" x14ac:dyDescent="0.25">
      <c r="B47" s="10">
        <v>2001</v>
      </c>
      <c r="C47" s="69">
        <f>' Per Cápita 08'!B46</f>
        <v>35.341216000000003</v>
      </c>
      <c r="D47" s="2">
        <v>169.57254999999998</v>
      </c>
      <c r="E47" s="64">
        <f t="shared" si="1"/>
        <v>2.0841354334767039E-10</v>
      </c>
    </row>
    <row r="48" spans="2:12" x14ac:dyDescent="0.25">
      <c r="B48" s="10">
        <v>2002</v>
      </c>
      <c r="C48" s="69">
        <f>' Per Cápita 08'!B47</f>
        <v>32.871679999999998</v>
      </c>
      <c r="D48" s="2">
        <v>193.08387999999999</v>
      </c>
      <c r="E48" s="64">
        <f t="shared" si="1"/>
        <v>1.7024559481609754E-10</v>
      </c>
    </row>
    <row r="49" spans="2:6" x14ac:dyDescent="0.25">
      <c r="B49" s="10">
        <v>2003</v>
      </c>
      <c r="C49" s="69">
        <f>' Per Cápita 08'!B48</f>
        <v>40.188004999999997</v>
      </c>
      <c r="D49" s="2">
        <v>203.78914</v>
      </c>
      <c r="E49" s="64">
        <f t="shared" si="1"/>
        <v>1.9720385983276634E-10</v>
      </c>
    </row>
    <row r="50" spans="2:6" x14ac:dyDescent="0.25">
      <c r="B50" s="10">
        <v>2004</v>
      </c>
      <c r="C50" s="69">
        <f>' Per Cápita 08'!B49</f>
        <v>64.205455000000001</v>
      </c>
      <c r="D50" s="2">
        <v>220.41551999999999</v>
      </c>
      <c r="E50" s="64">
        <f t="shared" si="1"/>
        <v>2.9129280460831433E-10</v>
      </c>
    </row>
    <row r="51" spans="2:6" x14ac:dyDescent="0.25">
      <c r="B51" s="10">
        <v>2005</v>
      </c>
      <c r="C51" s="69">
        <f>' Per Cápita 08'!B50</f>
        <v>91.651819000000003</v>
      </c>
      <c r="D51" s="2">
        <v>255.02369000000002</v>
      </c>
      <c r="E51" s="64">
        <f t="shared" si="1"/>
        <v>3.5938551042062009E-10</v>
      </c>
    </row>
    <row r="52" spans="2:6" x14ac:dyDescent="0.25">
      <c r="B52" s="10">
        <v>2006</v>
      </c>
      <c r="C52" s="69">
        <f>' Per Cápita 08'!B51</f>
        <v>135.10455300000001</v>
      </c>
      <c r="D52" s="2">
        <v>289.62955999999997</v>
      </c>
      <c r="E52" s="64">
        <f t="shared" si="1"/>
        <v>4.6647363273279162E-10</v>
      </c>
    </row>
    <row r="53" spans="2:6" x14ac:dyDescent="0.25">
      <c r="B53" s="10">
        <v>2007</v>
      </c>
      <c r="C53" s="69">
        <f>' Per Cápita 08'!B52</f>
        <v>168.412272</v>
      </c>
      <c r="D53" s="2">
        <v>315.86653999999999</v>
      </c>
      <c r="E53" s="64">
        <f t="shared" si="1"/>
        <v>5.3317541009566896E-10</v>
      </c>
    </row>
    <row r="54" spans="2:6" x14ac:dyDescent="0.25">
      <c r="B54" s="10">
        <v>2008</v>
      </c>
      <c r="C54" s="69">
        <f>' Per Cápita 08'!B53</f>
        <v>257.28998200000001</v>
      </c>
      <c r="D54" s="2">
        <v>356.99453000000005</v>
      </c>
      <c r="E54" s="64">
        <f t="shared" si="1"/>
        <v>7.2071127252285905E-10</v>
      </c>
    </row>
    <row r="55" spans="2:6" x14ac:dyDescent="0.25">
      <c r="B55" s="10">
        <v>2009</v>
      </c>
      <c r="C55" s="69">
        <f>' Per Cápita 08'!B54</f>
        <v>112.648813</v>
      </c>
      <c r="D55" s="2">
        <v>413.96373999999997</v>
      </c>
      <c r="E55" s="64">
        <f t="shared" si="1"/>
        <v>2.7212241584250836E-10</v>
      </c>
    </row>
    <row r="56" spans="2:6" x14ac:dyDescent="0.25">
      <c r="B56" s="10">
        <v>2010</v>
      </c>
      <c r="C56" s="69">
        <f>' Per Cápita 08'!B55</f>
        <v>97.545862999999997</v>
      </c>
      <c r="D56" s="2">
        <v>476.72912000000002</v>
      </c>
      <c r="E56" s="64">
        <f t="shared" si="1"/>
        <v>2.0461486178985666E-10</v>
      </c>
    </row>
    <row r="57" spans="2:6" x14ac:dyDescent="0.25">
      <c r="B57" s="10">
        <v>2011</v>
      </c>
      <c r="C57" s="69">
        <f>' Per Cápita 08'!B56</f>
        <v>147.564931</v>
      </c>
      <c r="D57" s="2">
        <v>449.90528999999998</v>
      </c>
      <c r="E57" s="64">
        <f t="shared" si="1"/>
        <v>3.2799110008241962E-10</v>
      </c>
    </row>
    <row r="58" spans="2:6" x14ac:dyDescent="0.25">
      <c r="B58" s="10">
        <v>2012</v>
      </c>
      <c r="C58" s="69">
        <f>' Per Cápita 08'!B57</f>
        <v>214.34607099999999</v>
      </c>
      <c r="D58" s="2">
        <v>494.70812999999998</v>
      </c>
      <c r="E58" s="64">
        <f t="shared" si="1"/>
        <v>4.3327784202778315E-10</v>
      </c>
    </row>
    <row r="59" spans="2:6" x14ac:dyDescent="0.25">
      <c r="B59" s="10">
        <v>2013</v>
      </c>
      <c r="C59" s="69">
        <f>' Per Cápita 08'!B58</f>
        <v>319.22377799999998</v>
      </c>
      <c r="D59" s="2">
        <v>585.44633999999996</v>
      </c>
      <c r="E59" s="64">
        <f t="shared" si="1"/>
        <v>5.4526564808655224E-10</v>
      </c>
    </row>
    <row r="60" spans="2:6" x14ac:dyDescent="0.25">
      <c r="B60" s="10">
        <v>2014</v>
      </c>
      <c r="C60" s="69">
        <f>' Per Cápita 08'!B59</f>
        <v>370.25603999999998</v>
      </c>
      <c r="D60" s="2">
        <v>607.30944999999997</v>
      </c>
      <c r="E60" s="64">
        <f t="shared" si="1"/>
        <v>6.0966619241640324E-10</v>
      </c>
    </row>
    <row r="61" spans="2:6" x14ac:dyDescent="0.25">
      <c r="B61" s="11">
        <v>2015</v>
      </c>
      <c r="C61" s="69">
        <f>' Per Cápita 08'!B60</f>
        <v>470.23585700000001</v>
      </c>
      <c r="D61" s="2">
        <v>645.33130000000006</v>
      </c>
      <c r="E61" s="64">
        <f t="shared" si="1"/>
        <v>7.2867356193632628E-10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90" x14ac:dyDescent="0.25">
      <c r="B67" s="12" t="s">
        <v>3</v>
      </c>
      <c r="C67" s="13" t="s">
        <v>83</v>
      </c>
      <c r="D67" s="13" t="s">
        <v>87</v>
      </c>
      <c r="E67" s="14" t="s">
        <v>82</v>
      </c>
    </row>
    <row r="68" spans="2:12" x14ac:dyDescent="0.25">
      <c r="B68" s="10">
        <v>1991</v>
      </c>
      <c r="C68" s="111" t="e">
        <f>' Per Cápita 08'!B65</f>
        <v>#VALUE!</v>
      </c>
      <c r="D68" s="2">
        <f t="shared" ref="D68:D92" si="2">D37*2</f>
        <v>61.77328</v>
      </c>
      <c r="E68" s="79" t="e">
        <f t="shared" ref="E68:E92" si="3">(C68/D68)/100000000</f>
        <v>#VALUE!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111" t="e">
        <f>' Per Cápita 08'!B66</f>
        <v>#VALUE!</v>
      </c>
      <c r="D69" s="2">
        <f t="shared" si="2"/>
        <v>73.497559999999993</v>
      </c>
      <c r="E69" s="79" t="e">
        <f t="shared" si="3"/>
        <v>#VALUE!</v>
      </c>
    </row>
    <row r="70" spans="2:12" x14ac:dyDescent="0.25">
      <c r="B70" s="10">
        <v>1993</v>
      </c>
      <c r="C70" s="111">
        <f>' Per Cápita 08'!B67</f>
        <v>28.761523999999998</v>
      </c>
      <c r="D70" s="2">
        <f t="shared" si="2"/>
        <v>108.32755999999999</v>
      </c>
      <c r="E70" s="79">
        <f t="shared" si="3"/>
        <v>2.6550514015085358E-9</v>
      </c>
    </row>
    <row r="71" spans="2:12" x14ac:dyDescent="0.25">
      <c r="B71" s="10">
        <v>1994</v>
      </c>
      <c r="C71" s="111">
        <f>' Per Cápita 08'!B68</f>
        <v>53.290269000000002</v>
      </c>
      <c r="D71" s="2">
        <f t="shared" si="2"/>
        <v>165.22766000000001</v>
      </c>
      <c r="E71" s="79">
        <f t="shared" si="3"/>
        <v>3.2252631914051193E-9</v>
      </c>
    </row>
    <row r="72" spans="2:12" x14ac:dyDescent="0.25">
      <c r="B72" s="10">
        <v>1995</v>
      </c>
      <c r="C72" s="111" t="e">
        <f>' Per Cápita 08'!B69</f>
        <v>#VALUE!</v>
      </c>
      <c r="D72" s="2">
        <f t="shared" si="2"/>
        <v>194.95656</v>
      </c>
      <c r="E72" s="79" t="e">
        <f t="shared" si="3"/>
        <v>#VALUE!</v>
      </c>
    </row>
    <row r="73" spans="2:12" x14ac:dyDescent="0.25">
      <c r="B73" s="10">
        <v>1996</v>
      </c>
      <c r="C73" s="111">
        <f>' Per Cápita 08'!B70</f>
        <v>93.823773000000003</v>
      </c>
      <c r="D73" s="2">
        <f t="shared" si="2"/>
        <v>274.80944</v>
      </c>
      <c r="E73" s="79">
        <f t="shared" si="3"/>
        <v>3.4141393759981466E-9</v>
      </c>
    </row>
    <row r="74" spans="2:12" x14ac:dyDescent="0.25">
      <c r="B74" s="10">
        <v>1997</v>
      </c>
      <c r="C74" s="111">
        <f>' Per Cápita 08'!B71</f>
        <v>85.499276000000009</v>
      </c>
      <c r="D74" s="2">
        <f t="shared" si="2"/>
        <v>336.80086</v>
      </c>
      <c r="E74" s="79">
        <f t="shared" si="3"/>
        <v>2.5385705962864823E-9</v>
      </c>
    </row>
    <row r="75" spans="2:12" x14ac:dyDescent="0.25">
      <c r="B75" s="10">
        <v>1998</v>
      </c>
      <c r="C75" s="111">
        <f>' Per Cápita 08'!B72</f>
        <v>73.790592000000004</v>
      </c>
      <c r="D75" s="2">
        <f t="shared" si="2"/>
        <v>369.28847999999999</v>
      </c>
      <c r="E75" s="79">
        <f t="shared" si="3"/>
        <v>1.9981828840152284E-9</v>
      </c>
    </row>
    <row r="76" spans="2:12" x14ac:dyDescent="0.25">
      <c r="B76" s="10">
        <v>1999</v>
      </c>
      <c r="C76" s="111" t="e">
        <f>' Per Cápita 08'!B73</f>
        <v>#VALUE!</v>
      </c>
      <c r="D76" s="2">
        <f t="shared" si="2"/>
        <v>364.99447999999995</v>
      </c>
      <c r="E76" s="79" t="e">
        <f t="shared" si="3"/>
        <v>#VALUE!</v>
      </c>
    </row>
    <row r="77" spans="2:12" x14ac:dyDescent="0.25">
      <c r="B77" s="10">
        <v>2000</v>
      </c>
      <c r="C77" s="111" t="e">
        <f>' Per Cápita 08'!B74</f>
        <v>#VALUE!</v>
      </c>
      <c r="D77" s="2">
        <f t="shared" si="2"/>
        <v>347.67599999999999</v>
      </c>
      <c r="E77" s="79" t="e">
        <f t="shared" si="3"/>
        <v>#VALUE!</v>
      </c>
    </row>
    <row r="78" spans="2:12" x14ac:dyDescent="0.25">
      <c r="B78" s="10">
        <v>2001</v>
      </c>
      <c r="C78" s="111" t="e">
        <f>' Per Cápita 08'!B75</f>
        <v>#VALUE!</v>
      </c>
      <c r="D78" s="2">
        <f t="shared" si="2"/>
        <v>339.14509999999996</v>
      </c>
      <c r="E78" s="79" t="e">
        <f t="shared" si="3"/>
        <v>#VALUE!</v>
      </c>
    </row>
    <row r="79" spans="2:12" x14ac:dyDescent="0.25">
      <c r="B79" s="10">
        <v>2002</v>
      </c>
      <c r="C79" s="111">
        <f>' Per Cápita 08'!B76</f>
        <v>32.943293999999995</v>
      </c>
      <c r="D79" s="2">
        <f t="shared" si="2"/>
        <v>386.16775999999999</v>
      </c>
      <c r="E79" s="79">
        <f t="shared" si="3"/>
        <v>8.530824530768699E-10</v>
      </c>
    </row>
    <row r="80" spans="2:12" x14ac:dyDescent="0.25">
      <c r="B80" s="10">
        <v>2003</v>
      </c>
      <c r="C80" s="111">
        <f>' Per Cápita 08'!B77</f>
        <v>40.244766999999996</v>
      </c>
      <c r="D80" s="2">
        <f t="shared" si="2"/>
        <v>407.57828000000001</v>
      </c>
      <c r="E80" s="79">
        <f t="shared" si="3"/>
        <v>9.8741196415078844E-10</v>
      </c>
    </row>
    <row r="81" spans="2:5" x14ac:dyDescent="0.25">
      <c r="B81" s="10">
        <v>2004</v>
      </c>
      <c r="C81" s="111">
        <f>' Per Cápita 08'!B78</f>
        <v>64.318968999999996</v>
      </c>
      <c r="D81" s="2">
        <f t="shared" si="2"/>
        <v>440.83103999999997</v>
      </c>
      <c r="E81" s="79">
        <f t="shared" si="3"/>
        <v>1.4590390232048994E-9</v>
      </c>
    </row>
    <row r="82" spans="2:5" x14ac:dyDescent="0.25">
      <c r="B82" s="10">
        <v>2005</v>
      </c>
      <c r="C82" s="111">
        <f>' Per Cápita 08'!B79</f>
        <v>91.868800000000007</v>
      </c>
      <c r="D82" s="2">
        <f t="shared" si="2"/>
        <v>510.04738000000003</v>
      </c>
      <c r="E82" s="79">
        <f t="shared" si="3"/>
        <v>1.8011816862974571E-9</v>
      </c>
    </row>
    <row r="83" spans="2:5" x14ac:dyDescent="0.25">
      <c r="B83" s="10">
        <v>2006</v>
      </c>
      <c r="C83" s="111">
        <f>' Per Cápita 08'!B80</f>
        <v>135.522718</v>
      </c>
      <c r="D83" s="2">
        <f t="shared" si="2"/>
        <v>579.25911999999994</v>
      </c>
      <c r="E83" s="79">
        <f t="shared" si="3"/>
        <v>2.3395871263969055E-9</v>
      </c>
    </row>
    <row r="84" spans="2:5" x14ac:dyDescent="0.25">
      <c r="B84" s="10">
        <v>2007</v>
      </c>
      <c r="C84" s="111">
        <f>' Per Cápita 08'!B81</f>
        <v>168.819749</v>
      </c>
      <c r="D84" s="2">
        <f t="shared" si="2"/>
        <v>631.73307999999997</v>
      </c>
      <c r="E84" s="79">
        <f t="shared" si="3"/>
        <v>2.6723271955301124E-9</v>
      </c>
    </row>
    <row r="85" spans="2:5" x14ac:dyDescent="0.25">
      <c r="B85" s="10">
        <v>2008</v>
      </c>
      <c r="C85" s="111">
        <f>' Per Cápita 08'!B82</f>
        <v>258.10175700000002</v>
      </c>
      <c r="D85" s="2">
        <f t="shared" si="2"/>
        <v>713.98906000000011</v>
      </c>
      <c r="E85" s="79">
        <f t="shared" si="3"/>
        <v>3.6149259345794455E-9</v>
      </c>
    </row>
    <row r="86" spans="2:5" x14ac:dyDescent="0.25">
      <c r="B86" s="10">
        <v>2009</v>
      </c>
      <c r="C86" s="111">
        <f>' Per Cápita 08'!B83</f>
        <v>112.949793</v>
      </c>
      <c r="D86" s="2">
        <f t="shared" si="2"/>
        <v>827.92747999999995</v>
      </c>
      <c r="E86" s="79">
        <f t="shared" si="3"/>
        <v>1.3642474217669403E-9</v>
      </c>
    </row>
    <row r="87" spans="2:5" x14ac:dyDescent="0.25">
      <c r="B87" s="10">
        <v>2010</v>
      </c>
      <c r="C87" s="111">
        <f>' Per Cápita 08'!B84</f>
        <v>98.167418999999995</v>
      </c>
      <c r="D87" s="2">
        <f t="shared" si="2"/>
        <v>953.45824000000005</v>
      </c>
      <c r="E87" s="79">
        <f t="shared" si="3"/>
        <v>1.0295932730100481E-9</v>
      </c>
    </row>
    <row r="88" spans="2:5" x14ac:dyDescent="0.25">
      <c r="B88" s="10">
        <v>2011</v>
      </c>
      <c r="C88" s="111">
        <f>' Per Cápita 08'!B85</f>
        <v>148.172009</v>
      </c>
      <c r="D88" s="2">
        <f t="shared" si="2"/>
        <v>899.81057999999996</v>
      </c>
      <c r="E88" s="79">
        <f t="shared" si="3"/>
        <v>1.6467022314852089E-9</v>
      </c>
    </row>
    <row r="89" spans="2:5" x14ac:dyDescent="0.25">
      <c r="B89" s="10">
        <v>2012</v>
      </c>
      <c r="C89" s="111">
        <f>' Per Cápita 08'!B86</f>
        <v>214.688852</v>
      </c>
      <c r="D89" s="2">
        <f t="shared" si="2"/>
        <v>989.41625999999997</v>
      </c>
      <c r="E89" s="79">
        <f t="shared" si="3"/>
        <v>2.1698536872640439E-9</v>
      </c>
    </row>
    <row r="90" spans="2:5" x14ac:dyDescent="0.25">
      <c r="B90" s="10">
        <v>2013</v>
      </c>
      <c r="C90" s="111">
        <f>' Per Cápita 08'!B87</f>
        <v>320.10052199999996</v>
      </c>
      <c r="D90" s="2">
        <f t="shared" si="2"/>
        <v>1170.8926799999999</v>
      </c>
      <c r="E90" s="79">
        <f t="shared" si="3"/>
        <v>2.7338160658754823E-9</v>
      </c>
    </row>
    <row r="91" spans="2:5" x14ac:dyDescent="0.25">
      <c r="B91" s="10">
        <v>2014</v>
      </c>
      <c r="C91" s="111">
        <f>' Per Cápita 08'!B88</f>
        <v>370.48907800000001</v>
      </c>
      <c r="D91" s="2">
        <f t="shared" si="2"/>
        <v>1214.6188999999999</v>
      </c>
      <c r="E91" s="79">
        <f t="shared" si="3"/>
        <v>3.050249572108585E-9</v>
      </c>
    </row>
    <row r="92" spans="2:5" x14ac:dyDescent="0.25">
      <c r="B92" s="11">
        <v>2015</v>
      </c>
      <c r="C92" s="111">
        <f>' Per Cápita 08'!B89</f>
        <v>471.248536</v>
      </c>
      <c r="D92" s="2">
        <f t="shared" si="2"/>
        <v>1290.6626000000001</v>
      </c>
      <c r="E92" s="79">
        <f t="shared" si="3"/>
        <v>3.6512140043416459E-9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B26" zoomScale="80" zoomScaleNormal="80" workbookViewId="0">
      <selection activeCell="L31" sqref="L31:P33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19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74" t="e">
        <f>'Balanza c 08'!B2</f>
        <v>#VALUE!</v>
      </c>
      <c r="C5" s="27">
        <v>881.41649700000005</v>
      </c>
      <c r="D5" s="2">
        <v>1806.394</v>
      </c>
      <c r="E5" s="5">
        <v>218.072048</v>
      </c>
      <c r="F5" s="113" t="e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#VALUE!</v>
      </c>
      <c r="G5" s="7" t="s">
        <v>96</v>
      </c>
      <c r="L5" s="49" t="s">
        <v>97</v>
      </c>
    </row>
    <row r="6" spans="1:17" x14ac:dyDescent="0.25">
      <c r="A6" s="10">
        <v>1992</v>
      </c>
      <c r="B6" s="74" t="e">
        <f>'Balanza c 08'!B3</f>
        <v>#VALUE!</v>
      </c>
      <c r="C6" s="27">
        <v>983.24995899999999</v>
      </c>
      <c r="D6" s="2">
        <v>3152.6379999999999</v>
      </c>
      <c r="E6" s="5">
        <v>433.62799100000001</v>
      </c>
      <c r="F6" s="113" t="e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#VALUE!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74">
        <f>'Balanza c 08'!B4</f>
        <v>-28.760020000000001</v>
      </c>
      <c r="C7" s="27">
        <v>959.41936999999996</v>
      </c>
      <c r="D7" s="2">
        <v>3215.2869999999998</v>
      </c>
      <c r="E7" s="5">
        <v>473.60294699999997</v>
      </c>
      <c r="F7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-2.0069485072785508E-2</v>
      </c>
      <c r="G7" s="1"/>
      <c r="M7" s="49"/>
      <c r="N7" s="49"/>
      <c r="O7" s="49"/>
    </row>
    <row r="8" spans="1:17" x14ac:dyDescent="0.25">
      <c r="A8" s="10">
        <v>1994</v>
      </c>
      <c r="B8" s="74">
        <f>'Balanza c 08'!B5</f>
        <v>-53.262578999999995</v>
      </c>
      <c r="C8" s="27">
        <v>1017.331577</v>
      </c>
      <c r="D8" s="2">
        <v>4474.9809999999998</v>
      </c>
      <c r="E8" s="5">
        <v>632.10264900000004</v>
      </c>
      <c r="F8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-3.2291423422906466E-2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74" t="e">
        <f>'Balanza c 08'!B6</f>
        <v>#VALUE!</v>
      </c>
      <c r="C9" s="27">
        <v>1038.4779860000001</v>
      </c>
      <c r="D9" s="2">
        <v>3992.277</v>
      </c>
      <c r="E9" s="5">
        <v>792.92823299999998</v>
      </c>
      <c r="F9" s="113" t="e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#VALUE!</v>
      </c>
      <c r="G9" s="1"/>
    </row>
    <row r="10" spans="1:17" x14ac:dyDescent="0.25">
      <c r="A10" s="10">
        <v>1996</v>
      </c>
      <c r="B10" s="74">
        <f>'Balanza c 08'!B7</f>
        <v>-93.794002999999989</v>
      </c>
      <c r="C10" s="27">
        <v>1068.2126330000001</v>
      </c>
      <c r="D10" s="2">
        <v>5379.8019999999997</v>
      </c>
      <c r="E10" s="5">
        <v>1032.147324</v>
      </c>
      <c r="F10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-4.4656156525650227E-2</v>
      </c>
      <c r="G10" s="1"/>
      <c r="H10" s="114"/>
    </row>
    <row r="11" spans="1:17" x14ac:dyDescent="0.25">
      <c r="A11" s="10">
        <v>1997</v>
      </c>
      <c r="B11" s="74">
        <f>'Balanza c 08'!B8</f>
        <v>-85.490116</v>
      </c>
      <c r="C11" s="27">
        <v>1133.477727</v>
      </c>
      <c r="D11" s="2">
        <v>3821.105</v>
      </c>
      <c r="E11" s="5">
        <v>969.76201700000001</v>
      </c>
      <c r="F11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-4.0646871686350179E-2</v>
      </c>
      <c r="G11" s="1"/>
    </row>
    <row r="12" spans="1:17" x14ac:dyDescent="0.25">
      <c r="A12" s="10">
        <v>1998</v>
      </c>
      <c r="B12" s="74">
        <f>'Balanza c 08'!B9</f>
        <v>-73.765184000000005</v>
      </c>
      <c r="C12" s="27">
        <v>1185.2250309999999</v>
      </c>
      <c r="D12" s="2">
        <v>3538.69</v>
      </c>
      <c r="E12" s="5">
        <v>942.82702099999995</v>
      </c>
      <c r="F12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-3.4663242344412357E-2</v>
      </c>
      <c r="G12" s="1"/>
    </row>
    <row r="13" spans="1:17" x14ac:dyDescent="0.25">
      <c r="A13" s="10">
        <v>1999</v>
      </c>
      <c r="B13" s="74" t="e">
        <f>'Balanza c 08'!B10</f>
        <v>#VALUE!</v>
      </c>
      <c r="C13" s="27">
        <v>1221.7329010000001</v>
      </c>
      <c r="D13" s="2">
        <v>3328.6469999999999</v>
      </c>
      <c r="E13" s="5">
        <v>718.368246</v>
      </c>
      <c r="F13" s="113" t="e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#VALUE!</v>
      </c>
      <c r="G13" s="1"/>
    </row>
    <row r="14" spans="1:17" x14ac:dyDescent="0.25">
      <c r="A14" s="10">
        <v>2000</v>
      </c>
      <c r="B14" s="74" t="e">
        <f>'Balanza c 08'!B11</f>
        <v>#VALUE!</v>
      </c>
      <c r="C14" s="27">
        <v>1182.814787</v>
      </c>
      <c r="D14" s="2">
        <v>2423.2669999999998</v>
      </c>
      <c r="E14" s="5">
        <v>800.71074399999998</v>
      </c>
      <c r="F14" s="113" t="e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#VALUE!</v>
      </c>
      <c r="G14" s="1"/>
    </row>
    <row r="15" spans="1:17" x14ac:dyDescent="0.25">
      <c r="A15" s="10">
        <v>2001</v>
      </c>
      <c r="B15" s="74" t="e">
        <f>'Balanza c 08'!B12</f>
        <v>#VALUE!</v>
      </c>
      <c r="C15" s="27">
        <v>1144.9792580000001</v>
      </c>
      <c r="D15" s="2">
        <v>3458.69</v>
      </c>
      <c r="E15" s="5">
        <v>806.63776399999995</v>
      </c>
      <c r="F15" s="113" t="e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#VALUE!</v>
      </c>
      <c r="G15" s="1"/>
    </row>
    <row r="16" spans="1:17" x14ac:dyDescent="0.25">
      <c r="A16" s="10">
        <v>2002</v>
      </c>
      <c r="B16" s="74">
        <f>'Balanza c 08'!B13</f>
        <v>-32.800066000000001</v>
      </c>
      <c r="C16" s="27">
        <v>1201.0997769999999</v>
      </c>
      <c r="D16" s="2">
        <v>3495.8850000000002</v>
      </c>
      <c r="E16" s="5">
        <v>914.29077400000006</v>
      </c>
      <c r="F16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-1.5505442238311294E-2</v>
      </c>
      <c r="G16" s="1"/>
    </row>
    <row r="17" spans="1:7" x14ac:dyDescent="0.25">
      <c r="A17" s="10">
        <v>2003</v>
      </c>
      <c r="B17" s="74">
        <f>'Balanza c 08'!B14</f>
        <v>-40.131242999999998</v>
      </c>
      <c r="C17" s="27">
        <v>1198.522637</v>
      </c>
      <c r="D17" s="2">
        <v>4221.4390000000003</v>
      </c>
      <c r="E17" s="5">
        <v>964.07554868999978</v>
      </c>
      <c r="F17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-1.8556957675054973E-2</v>
      </c>
      <c r="G17" s="1"/>
    </row>
    <row r="18" spans="1:7" x14ac:dyDescent="0.25">
      <c r="A18" s="10">
        <v>2004</v>
      </c>
      <c r="B18" s="74">
        <f>'Balanza c 08'!B15</f>
        <v>-64.091941000000006</v>
      </c>
      <c r="C18" s="27">
        <v>1414.1092617499999</v>
      </c>
      <c r="D18" s="2">
        <v>2268.058</v>
      </c>
      <c r="E18" s="5">
        <v>1096.5766716700007</v>
      </c>
      <c r="F18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-2.5527661642926157E-2</v>
      </c>
      <c r="G18" s="1"/>
    </row>
    <row r="19" spans="1:7" x14ac:dyDescent="0.25">
      <c r="A19" s="10">
        <v>2005</v>
      </c>
      <c r="B19" s="74">
        <f>'Balanza c 08'!B16</f>
        <v>-91.434837999999999</v>
      </c>
      <c r="C19" s="27">
        <v>1724.6291241099998</v>
      </c>
      <c r="D19" s="2">
        <v>3775.5949999999998</v>
      </c>
      <c r="E19" s="5">
        <v>1034.5303382900004</v>
      </c>
      <c r="F19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-3.3138656625691078E-2</v>
      </c>
      <c r="G19" s="1"/>
    </row>
    <row r="20" spans="1:7" x14ac:dyDescent="0.25">
      <c r="A20" s="10">
        <v>2006</v>
      </c>
      <c r="B20" s="74">
        <f>'Balanza c 08'!B17</f>
        <v>-134.68638800000002</v>
      </c>
      <c r="C20" s="27">
        <v>1872.3784980099981</v>
      </c>
      <c r="D20" s="2">
        <v>3769.5279999999998</v>
      </c>
      <c r="E20" s="5">
        <v>1257.3132665799999</v>
      </c>
      <c r="F20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-4.3035032882110191E-2</v>
      </c>
      <c r="G20" s="1"/>
    </row>
    <row r="21" spans="1:7" x14ac:dyDescent="0.25">
      <c r="A21" s="10">
        <v>2007</v>
      </c>
      <c r="B21" s="74">
        <f>'Balanza c 08'!B18</f>
        <v>-168.004795</v>
      </c>
      <c r="C21" s="26">
        <v>2122.5042788000019</v>
      </c>
      <c r="D21" s="2">
        <v>4219.6670000000004</v>
      </c>
      <c r="E21" s="5">
        <v>1695.4131790200004</v>
      </c>
      <c r="F21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-4.4004302569686585E-2</v>
      </c>
      <c r="G21" s="1"/>
    </row>
    <row r="22" spans="1:7" x14ac:dyDescent="0.25">
      <c r="A22" s="10">
        <v>2008</v>
      </c>
      <c r="B22" s="74">
        <f>'Balanza c 08'!B19</f>
        <v>-256.478207</v>
      </c>
      <c r="C22" s="26">
        <v>2146.3400352200028</v>
      </c>
      <c r="D22" s="2">
        <v>4908.3850000000002</v>
      </c>
      <c r="E22" s="5">
        <v>2236.8973823599977</v>
      </c>
      <c r="F22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-5.8513418865091371E-2</v>
      </c>
      <c r="G22" s="1"/>
    </row>
    <row r="23" spans="1:7" x14ac:dyDescent="0.25">
      <c r="A23" s="10">
        <v>2009</v>
      </c>
      <c r="B23" s="74">
        <f>'Balanza c 08'!B20</f>
        <v>-112.34783300000001</v>
      </c>
      <c r="C23" s="26">
        <v>2095.9589286500013</v>
      </c>
      <c r="D23" s="2">
        <v>4795.9279999999999</v>
      </c>
      <c r="E23" s="5">
        <v>1750.4526144300014</v>
      </c>
      <c r="F23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-2.9208479576794791E-2</v>
      </c>
      <c r="G23" s="1"/>
    </row>
    <row r="24" spans="1:7" x14ac:dyDescent="0.25">
      <c r="A24" s="10">
        <v>2010</v>
      </c>
      <c r="B24" s="74">
        <f>'Balanza c 08'!B21</f>
        <v>-96.924306999999999</v>
      </c>
      <c r="C24" s="26">
        <v>2166.04730251</v>
      </c>
      <c r="D24" s="2">
        <v>912.50599999999997</v>
      </c>
      <c r="E24" s="5">
        <v>2018.9772672800029</v>
      </c>
      <c r="F24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-2.3159794018811099E-2</v>
      </c>
      <c r="G24" s="1"/>
    </row>
    <row r="25" spans="1:7" x14ac:dyDescent="0.25">
      <c r="A25" s="10">
        <v>2011</v>
      </c>
      <c r="B25" s="74">
        <f>'Balanza c 08'!B22</f>
        <v>-146.957853</v>
      </c>
      <c r="C25" s="26">
        <v>2284.3647235700028</v>
      </c>
      <c r="D25" s="2">
        <v>1611.5440000000001</v>
      </c>
      <c r="E25" s="5">
        <v>2563.9037290099977</v>
      </c>
      <c r="F25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-3.0311410029656372E-2</v>
      </c>
      <c r="G25" s="1"/>
    </row>
    <row r="26" spans="1:7" x14ac:dyDescent="0.25">
      <c r="A26" s="10">
        <v>2012</v>
      </c>
      <c r="B26" s="74">
        <f>'Balanza c 08'!B23</f>
        <v>-214.00328999999999</v>
      </c>
      <c r="C26" s="26">
        <v>2636.1765412600002</v>
      </c>
      <c r="D26" s="2">
        <v>1734.827</v>
      </c>
      <c r="E26" s="5">
        <v>2705.0876101299973</v>
      </c>
      <c r="F26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-4.0066037539878696E-2</v>
      </c>
      <c r="G26" s="1"/>
    </row>
    <row r="27" spans="1:7" x14ac:dyDescent="0.25">
      <c r="A27" s="10">
        <v>2013</v>
      </c>
      <c r="B27" s="74">
        <f>'Balanza c 08'!B24</f>
        <v>-318.34703400000001</v>
      </c>
      <c r="C27" s="26">
        <v>2651.0931387399996</v>
      </c>
      <c r="D27" s="2">
        <v>1652.723</v>
      </c>
      <c r="E27" s="5">
        <v>2581.5323848800022</v>
      </c>
      <c r="F27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-6.0838871912959523E-2</v>
      </c>
      <c r="G27" s="1"/>
    </row>
    <row r="28" spans="1:7" x14ac:dyDescent="0.25">
      <c r="A28" s="10">
        <v>2014</v>
      </c>
      <c r="B28" s="74">
        <f>'Balanza c 08'!B25</f>
        <v>-370.02300199999996</v>
      </c>
      <c r="C28" s="26">
        <v>2568.3085408999968</v>
      </c>
      <c r="D28" s="2">
        <v>1246.8779999999999</v>
      </c>
      <c r="E28" s="5">
        <v>2532.8550979199972</v>
      </c>
      <c r="F28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-7.2536979442124699E-2</v>
      </c>
      <c r="G28" s="1"/>
    </row>
    <row r="29" spans="1:7" x14ac:dyDescent="0.25">
      <c r="A29" s="11">
        <v>2015</v>
      </c>
      <c r="B29" s="74">
        <f>'Balanza c 08'!B26</f>
        <v>-469.22317800000002</v>
      </c>
      <c r="C29" s="3">
        <v>2443.4283642899991</v>
      </c>
      <c r="D29" s="2">
        <v>520.46799999999996</v>
      </c>
      <c r="E29" s="5">
        <v>2376.0279714999997</v>
      </c>
      <c r="F29" s="113">
        <f>(Tabla191011133145143[[#This Row],[Total Balanza Comercial de Colombia (US$ millones)]])/(Tabla191011133145143[[#This Row],[Total exportaciones de Colombia hacia el mundo
  (US$ millones FOB)]]+Tabla191011133145143[[#This Row],[Total Importaciones Colombia (US$millones CIF)]])</f>
        <v>-9.7360188641087794E-2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135</v>
      </c>
      <c r="C33" s="29" t="s">
        <v>121</v>
      </c>
      <c r="D33" s="29" t="s">
        <v>159</v>
      </c>
      <c r="E33" s="29" t="s">
        <v>160</v>
      </c>
      <c r="F33" s="29" t="s">
        <v>23</v>
      </c>
      <c r="G33" s="28" t="s">
        <v>24</v>
      </c>
    </row>
    <row r="34" spans="1:17" x14ac:dyDescent="0.25">
      <c r="A34" s="31">
        <v>1991</v>
      </c>
      <c r="B34" s="73" t="str">
        <f>'Participación Mundial 08'!C6</f>
        <v>n.d</v>
      </c>
      <c r="C34" s="26">
        <v>2823.8</v>
      </c>
      <c r="D34" s="27">
        <v>1.778249</v>
      </c>
      <c r="E34" s="27">
        <v>7.2686346239999997</v>
      </c>
      <c r="F34" s="97" t="e">
        <f>((Tabla19101113143246144[[#This Row],[Total exportaciones del grupo
 a USA (US$ miles)]]/10)/(Tabla19101113143246144[[#This Row],[Total exportaciones
 a USA (US$ miles)]])/((D34/10000)/E34))</f>
        <v>#VALUE!</v>
      </c>
      <c r="G34" s="98" t="e">
        <f>IF(Tabla19101113143246144[[#This Row],[Indice de Balassa]]&gt;0.33,"VENTAJA","NO VENTAJA")</f>
        <v>#VALUE!</v>
      </c>
    </row>
    <row r="35" spans="1:17" x14ac:dyDescent="0.25">
      <c r="A35" s="31">
        <v>1992</v>
      </c>
      <c r="B35" s="73" t="str">
        <f>'Participación Mundial 08'!C7</f>
        <v>n.d</v>
      </c>
      <c r="C35" s="26">
        <v>2722.5</v>
      </c>
      <c r="D35" s="27">
        <v>1.662596</v>
      </c>
      <c r="E35" s="27">
        <v>6.9160427520000001</v>
      </c>
      <c r="F35" s="97" t="e">
        <f>((Tabla19101113143246144[[#This Row],[Total exportaciones del grupo
 a USA (US$ miles)]]/10)/(Tabla19101113143246144[[#This Row],[Total exportaciones
 a USA (US$ miles)]])/((D35/10000)/E35))</f>
        <v>#VALUE!</v>
      </c>
      <c r="G35" s="98" t="e">
        <f>IF(Tabla19101113143246144[[#This Row],[Indice de Balassa]]&gt;0.33,"VENTAJA","NO VENTAJA")</f>
        <v>#VALUE!</v>
      </c>
    </row>
    <row r="36" spans="1:17" x14ac:dyDescent="0.25">
      <c r="A36" s="31">
        <v>1993</v>
      </c>
      <c r="B36" s="73">
        <f>'Participación Mundial 08'!C8</f>
        <v>0.752</v>
      </c>
      <c r="C36" s="26">
        <v>2850.21</v>
      </c>
      <c r="D36" s="27">
        <v>1.0614479999999999</v>
      </c>
      <c r="E36" s="27">
        <v>7.1234385920000003</v>
      </c>
      <c r="F36" s="97">
        <f>((Tabla19101113143246144[[#This Row],[Total exportaciones del grupo
 a USA (US$ miles)]]/10)/(Tabla19101113143246144[[#This Row],[Total exportaciones
 a USA (US$ miles)]])/((D36/10000)/E36))</f>
        <v>1.770646816121707</v>
      </c>
      <c r="G36" s="98" t="str">
        <f>IF(Tabla19101113143246144[[#This Row],[Indice de Balassa]]&gt;0.33,"VENTAJA","NO VENTAJA")</f>
        <v>VENTAJA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f>'Participación Mundial 08'!C9</f>
        <v>13.845000000000001</v>
      </c>
      <c r="C37" s="26">
        <v>3164.92</v>
      </c>
      <c r="D37" s="27">
        <v>3.098427</v>
      </c>
      <c r="E37" s="27">
        <v>8.5375165440000007</v>
      </c>
      <c r="F37" s="97">
        <f>((Tabla19101113143246144[[#This Row],[Total exportaciones del grupo
 a USA (US$ miles)]]/10)/(Tabla19101113143246144[[#This Row],[Total exportaciones
 a USA (US$ miles)]])/((D37/10000)/E37))</f>
        <v>12.0537037415139</v>
      </c>
      <c r="G37" s="98" t="str">
        <f>IF(Tabla19101113143246144[[#This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 t="str">
        <f>'Participación Mundial 08'!C10</f>
        <v>n.d</v>
      </c>
      <c r="C38" s="26">
        <v>3627.72</v>
      </c>
      <c r="D38" s="27">
        <v>2.5756640000000002</v>
      </c>
      <c r="E38" s="27">
        <v>10.201048064</v>
      </c>
      <c r="F38" s="97" t="e">
        <f>((Tabla19101113143246144[[#This Row],[Total exportaciones del grupo
 a USA (US$ miles)]]/10)/(Tabla19101113143246144[[#This Row],[Total exportaciones
 a USA (US$ miles)]])/((D38/10000)/E38))</f>
        <v>#VALUE!</v>
      </c>
      <c r="G38" s="98" t="e">
        <f>IF(Tabla19101113143246144[[#This Row],[Indice de Balassa]]&gt;0.33,"VENTAJA","NO VENTAJA")</f>
        <v>#VALUE!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f>'Participación Mundial 08'!C11</f>
        <v>14.885</v>
      </c>
      <c r="C39" s="26">
        <v>4282.93</v>
      </c>
      <c r="D39" s="27">
        <v>1.8938299999999999</v>
      </c>
      <c r="E39" s="27">
        <v>10.647555071999999</v>
      </c>
      <c r="F39" s="97">
        <f>((Tabla19101113143246144[[#This Row],[Total exportaciones del grupo
 a USA (US$ miles)]]/10)/(Tabla19101113143246144[[#This Row],[Total exportaciones
 a USA (US$ miles)]])/((D39/10000)/E39))</f>
        <v>19.539649348582014</v>
      </c>
      <c r="G39" s="98" t="str">
        <f>IF(Tabla19101113143246144[[#This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>
        <f>'Participación Mundial 08'!C12</f>
        <v>4.58</v>
      </c>
      <c r="C40" s="26">
        <v>4379.28</v>
      </c>
      <c r="D40" s="27">
        <v>2.105432</v>
      </c>
      <c r="E40" s="27">
        <v>11.549019136</v>
      </c>
      <c r="F40" s="97">
        <f>((Tabla19101113143246144[[#This Row],[Total exportaciones del grupo
 a USA (US$ miles)]]/10)/(Tabla19101113143246144[[#This Row],[Total exportaciones
 a USA (US$ miles)]])/((D40/10000)/E40))</f>
        <v>5.7367595302631242</v>
      </c>
      <c r="G40" s="98" t="str">
        <f>IF(Tabla19101113143246144[[#This Row],[Indice de Balassa]]&gt;0.33,"VENTAJA","NO VENTAJA")</f>
        <v>VENTAJA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>
        <f>'Participación Mundial 08'!C13</f>
        <v>12.704000000000001</v>
      </c>
      <c r="C41" s="26">
        <v>4139.68</v>
      </c>
      <c r="D41" s="27">
        <v>2.388341</v>
      </c>
      <c r="E41" s="27">
        <v>10.8212224</v>
      </c>
      <c r="F41" s="97">
        <f>((Tabla19101113143246144[[#This Row],[Total exportaciones del grupo
 a USA (US$ miles)]]/10)/(Tabla19101113143246144[[#This Row],[Total exportaciones
 a USA (US$ miles)]])/((D41/10000)/E41))</f>
        <v>13.904446411348825</v>
      </c>
      <c r="G41" s="98" t="str">
        <f>IF(Tabla19101113143246144[[#This Row],[Indice de Balassa]]&gt;0.33,"VENTAJA","NO VENTAJA")</f>
        <v>VENTAJA</v>
      </c>
      <c r="M41" t="s">
        <v>101</v>
      </c>
    </row>
    <row r="42" spans="1:17" x14ac:dyDescent="0.25">
      <c r="A42" s="31">
        <v>1999</v>
      </c>
      <c r="B42" s="73" t="str">
        <f>'Participación Mundial 08'!C14</f>
        <v>n.d</v>
      </c>
      <c r="C42" s="26">
        <v>5817.43</v>
      </c>
      <c r="D42" s="27">
        <v>5.8631690000000001</v>
      </c>
      <c r="E42" s="27">
        <v>11.617030143999999</v>
      </c>
      <c r="F42" s="97" t="e">
        <f>((Tabla19101113143246144[[#This Row],[Total exportaciones del grupo
 a USA (US$ miles)]]/10)/(Tabla19101113143246144[[#This Row],[Total exportaciones
 a USA (US$ miles)]])/((D42/10000)/E42))</f>
        <v>#VALUE!</v>
      </c>
      <c r="G42" s="98" t="e">
        <f>IF(Tabla19101113143246144[[#This Row],[Indice de Balassa]]&gt;0.33,"VENTAJA","NO VENTAJA")</f>
        <v>#VALUE!</v>
      </c>
    </row>
    <row r="43" spans="1:17" x14ac:dyDescent="0.25">
      <c r="A43" s="31">
        <v>2000</v>
      </c>
      <c r="B43" s="73" t="str">
        <f>'Participación Mundial 08'!C15</f>
        <v>n.d</v>
      </c>
      <c r="C43" s="26">
        <v>6632.13</v>
      </c>
      <c r="D43" s="27">
        <v>11.582314</v>
      </c>
      <c r="E43" s="27">
        <v>13.158400846999999</v>
      </c>
      <c r="F43" s="97" t="e">
        <f>((Tabla19101113143246144[[#This Row],[Total exportaciones del grupo
 a USA (US$ miles)]]/10)/(Tabla19101113143246144[[#This Row],[Total exportaciones
 a USA (US$ miles)]])/((D43/10000)/E43))</f>
        <v>#VALUE!</v>
      </c>
      <c r="G43" s="98" t="e">
        <f>IF(Tabla19101113143246144[[#This Row],[Indice de Balassa]]&gt;0.33,"VENTAJA","NO VENTAJA")</f>
        <v>#VALUE!</v>
      </c>
    </row>
    <row r="44" spans="1:17" x14ac:dyDescent="0.25">
      <c r="A44" s="31">
        <v>2001</v>
      </c>
      <c r="B44" s="73" t="str">
        <f>'Participación Mundial 08'!C16</f>
        <v>n.d</v>
      </c>
      <c r="C44" s="26">
        <v>5344.53</v>
      </c>
      <c r="D44" s="27">
        <v>14.842644999999999</v>
      </c>
      <c r="E44" s="27">
        <v>12.301486486</v>
      </c>
      <c r="F44" s="97" t="e">
        <f>((Tabla19101113143246144[[#This Row],[Total exportaciones del grupo
 a USA (US$ miles)]]/10)/(Tabla19101113143246144[[#This Row],[Total exportaciones
 a USA (US$ miles)]])/((D44/10000)/E44))</f>
        <v>#VALUE!</v>
      </c>
      <c r="G44" s="98" t="e">
        <f>IF(Tabla19101113143246144[[#This Row],[Indice de Balassa]]&gt;0.33,"VENTAJA","NO VENTAJA")</f>
        <v>#VALUE!</v>
      </c>
    </row>
    <row r="45" spans="1:17" x14ac:dyDescent="0.25">
      <c r="A45" s="31">
        <v>2002</v>
      </c>
      <c r="B45" s="73">
        <f>'Participación Mundial 08'!C17</f>
        <v>71.614000000000004</v>
      </c>
      <c r="C45" s="26">
        <v>5328.47</v>
      </c>
      <c r="D45" s="27">
        <v>6.5972030000000004</v>
      </c>
      <c r="E45" s="27">
        <v>11.897488381000001</v>
      </c>
      <c r="F45" s="97">
        <f>((Tabla19101113143246144[[#This Row],[Total exportaciones del grupo
 a USA (US$ miles)]]/10)/(Tabla19101113143246144[[#This Row],[Total exportaciones
 a USA (US$ miles)]])/((D45/10000)/E45))</f>
        <v>24.237668900588893</v>
      </c>
      <c r="G45" s="98" t="str">
        <f>IF(Tabla19101113143246144[[#This Row],[Indice de Balassa]]&gt;0.33,"VENTAJA","NO VENTAJA")</f>
        <v>VENTAJA</v>
      </c>
    </row>
    <row r="46" spans="1:17" x14ac:dyDescent="0.25">
      <c r="A46" s="31">
        <v>2003</v>
      </c>
      <c r="B46" s="73">
        <f>'Participación Mundial 08'!C18</f>
        <v>56.762</v>
      </c>
      <c r="C46" s="26">
        <v>6160.2</v>
      </c>
      <c r="D46" s="27">
        <v>7.0289169999999999</v>
      </c>
      <c r="E46" s="27">
        <v>13.092218068999999</v>
      </c>
      <c r="F46" s="97">
        <f>((Tabla19101113143246144[[#This Row],[Total exportaciones del grupo
 a USA (US$ miles)]]/10)/(Tabla19101113143246144[[#This Row],[Total exportaciones
 a USA (US$ miles)]])/((D46/10000)/E46))</f>
        <v>17.162782245943649</v>
      </c>
      <c r="G46" s="98" t="str">
        <f>IF(Tabla19101113143246144[[#This Row],[Indice de Balassa]]&gt;0.33,"VENTAJA","NO VENTAJA")</f>
        <v>VENTAJA</v>
      </c>
    </row>
    <row r="47" spans="1:17" x14ac:dyDescent="0.25">
      <c r="A47" s="31">
        <v>2004</v>
      </c>
      <c r="B47" s="73">
        <f>'Participación Mundial 08'!C19</f>
        <v>113.514</v>
      </c>
      <c r="C47" s="26">
        <v>7042.2</v>
      </c>
      <c r="D47" s="27">
        <v>4.983841</v>
      </c>
      <c r="E47" s="27">
        <v>16.729677706</v>
      </c>
      <c r="F47" s="97">
        <f>((Tabla19101113143246144[[#This Row],[Total exportaciones del grupo
 a USA (US$ miles)]]/10)/(Tabla19101113143246144[[#This Row],[Total exportaciones
 a USA (US$ miles)]])/((D47/10000)/E47))</f>
        <v>54.108372169188662</v>
      </c>
      <c r="G47" s="98" t="str">
        <f>IF(Tabla19101113143246144[[#This Row],[Indice de Balassa]]&gt;0.33,"VENTAJA","NO VENTAJA")</f>
        <v>VENTAJA</v>
      </c>
    </row>
    <row r="48" spans="1:17" x14ac:dyDescent="0.25">
      <c r="A48" s="31">
        <v>2005</v>
      </c>
      <c r="B48" s="73">
        <f>'Participación Mundial 08'!C20</f>
        <v>216.98099999999999</v>
      </c>
      <c r="C48" s="26">
        <v>8851.6299999999992</v>
      </c>
      <c r="D48" s="27">
        <v>7.2548570000000003</v>
      </c>
      <c r="E48" s="27">
        <v>21.190438735000001</v>
      </c>
      <c r="F48" s="97">
        <f>((Tabla19101113143246144[[#This Row],[Total exportaciones del grupo
 a USA (US$ miles)]]/10)/(Tabla19101113143246144[[#This Row],[Total exportaciones
 a USA (US$ miles)]])/((D48/10000)/E48))</f>
        <v>71.599426956504459</v>
      </c>
      <c r="G48" s="98" t="str">
        <f>IF(Tabla19101113143246144[[#This Row],[Indice de Balassa]]&gt;0.33,"VENTAJA","NO VENTAJA")</f>
        <v>VENTAJA</v>
      </c>
    </row>
    <row r="49" spans="1:25" x14ac:dyDescent="0.25">
      <c r="A49" s="31">
        <v>2006</v>
      </c>
      <c r="B49" s="73">
        <f>'Participación Mundial 08'!C21</f>
        <v>418.16500000000002</v>
      </c>
      <c r="C49" s="26">
        <v>9948.23</v>
      </c>
      <c r="D49" s="27">
        <v>15.327951000000001</v>
      </c>
      <c r="E49" s="27">
        <v>24.390975102999999</v>
      </c>
      <c r="F49" s="97">
        <f>((Tabla19101113143246144[[#This Row],[Total exportaciones del grupo
 a USA (US$ miles)]]/10)/(Tabla19101113143246144[[#This Row],[Total exportaciones
 a USA (US$ miles)]])/((D49/10000)/E49))</f>
        <v>66.887801565277485</v>
      </c>
      <c r="G49" s="98" t="str">
        <f>IF(Tabla19101113143246144[[#This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f>'Participación Mundial 08'!C22</f>
        <v>407.47699999999998</v>
      </c>
      <c r="C50" s="26">
        <v>10609.17</v>
      </c>
      <c r="D50" s="26">
        <v>19.518822</v>
      </c>
      <c r="E50" s="26">
        <v>29.991332</v>
      </c>
      <c r="F50" s="97">
        <f>((Tabla19101113143246144[[#This Row],[Total exportaciones del grupo
 a USA (US$ miles)]]/10)/(Tabla19101113143246144[[#This Row],[Total exportaciones
 a USA (US$ miles)]])/((D50/10000)/E50))</f>
        <v>59.015194442132902</v>
      </c>
      <c r="G50" s="98" t="str">
        <f>IF(Tabla19101113143246144[[#This Row],[Indice de Balassa]]&gt;0.33,"VENTAJA","NO VENTAJA")</f>
        <v>VENTAJA</v>
      </c>
    </row>
    <row r="51" spans="1:25" x14ac:dyDescent="0.25">
      <c r="A51" s="31">
        <v>2008</v>
      </c>
      <c r="B51" s="73">
        <f>'Participación Mundial 08'!C23</f>
        <v>811.77499999999998</v>
      </c>
      <c r="C51" s="26">
        <v>14288.83</v>
      </c>
      <c r="D51" s="26">
        <v>24.837558000000001</v>
      </c>
      <c r="E51" s="26">
        <v>37.625882064999999</v>
      </c>
      <c r="F51" s="97">
        <f>((Tabla19101113143246144[[#This Row],[Total exportaciones del grupo
 a USA (US$ miles)]]/10)/(Tabla19101113143246144[[#This Row],[Total exportaciones
 a USA (US$ miles)]])/((D51/10000)/E51))</f>
        <v>86.063063010255036</v>
      </c>
      <c r="G51" s="98" t="str">
        <f>IF(Tabla19101113143246144[[#This Row],[Indice de Balassa]]&gt;0.33,"VENTAJA","NO VENTAJA")</f>
        <v>VENTAJA</v>
      </c>
    </row>
    <row r="52" spans="1:25" x14ac:dyDescent="0.25">
      <c r="A52" s="31">
        <v>2009</v>
      </c>
      <c r="B52" s="73">
        <f>'Participación Mundial 08'!C24</f>
        <v>300.98</v>
      </c>
      <c r="C52" s="26">
        <v>13123.47</v>
      </c>
      <c r="D52" s="26">
        <v>25.134211000000001</v>
      </c>
      <c r="E52" s="26">
        <v>32.852985836999999</v>
      </c>
      <c r="F52" s="97">
        <f>((Tabla19101113143246144[[#This Row],[Total exportaciones del grupo
 a USA (US$ miles)]]/10)/(Tabla19101113143246144[[#This Row],[Total exportaciones
 a USA (US$ miles)]])/((D52/10000)/E52))</f>
        <v>29.97771627441135</v>
      </c>
      <c r="G52" s="98" t="str">
        <f>IF(Tabla19101113143246144[[#This Row],[Indice de Balassa]]&gt;0.33,"VENTAJA","NO VENTAJA")</f>
        <v>VENTAJA</v>
      </c>
    </row>
    <row r="53" spans="1:25" x14ac:dyDescent="0.25">
      <c r="A53" s="31">
        <v>2010</v>
      </c>
      <c r="B53" s="73">
        <f>'Participación Mundial 08'!C25</f>
        <v>621.55600000000004</v>
      </c>
      <c r="C53" s="26">
        <v>17143.28</v>
      </c>
      <c r="D53" s="26">
        <v>22.504591000000001</v>
      </c>
      <c r="E53" s="26">
        <v>39.819528642000002</v>
      </c>
      <c r="F53" s="97">
        <f>((Tabla19101113143246144[[#This Row],[Total exportaciones del grupo
 a USA (US$ miles)]]/10)/(Tabla19101113143246144[[#This Row],[Total exportaciones
 a USA (US$ miles)]])/((D53/10000)/E53))</f>
        <v>64.152167590344959</v>
      </c>
      <c r="G53" s="98" t="str">
        <f>IF(Tabla19101113143246144[[#This Row],[Indice de Balassa]]&gt;0.33,"VENTAJA","NO VENTAJA")</f>
        <v>VENTAJA</v>
      </c>
    </row>
    <row r="54" spans="1:25" x14ac:dyDescent="0.25">
      <c r="A54" s="31">
        <v>2011</v>
      </c>
      <c r="B54" s="73">
        <f>'Participación Mundial 08'!C26</f>
        <v>607.07799999999997</v>
      </c>
      <c r="C54" s="26">
        <v>21948.53</v>
      </c>
      <c r="D54" s="26">
        <v>26.330439999999999</v>
      </c>
      <c r="E54" s="26">
        <v>56.953516086</v>
      </c>
      <c r="F54" s="97">
        <f>((Tabla19101113143246144[[#This Row],[Total exportaciones del grupo
 a USA (US$ miles)]]/10)/(Tabla19101113143246144[[#This Row],[Total exportaciones
 a USA (US$ miles)]])/((D54/10000)/E54))</f>
        <v>59.827586078965837</v>
      </c>
      <c r="G54" s="98" t="str">
        <f>IF(Tabla19101113143246144[[#This Row],[Indice de Balassa]]&gt;0.33,"VENTAJA","NO VENTAJA")</f>
        <v>VENTAJA</v>
      </c>
    </row>
    <row r="55" spans="1:25" x14ac:dyDescent="0.25">
      <c r="A55" s="31">
        <v>2012</v>
      </c>
      <c r="B55" s="73">
        <f>'Participación Mundial 08'!C27</f>
        <v>342.78100000000001</v>
      </c>
      <c r="C55" s="26">
        <v>22216.240000000002</v>
      </c>
      <c r="D55" s="26">
        <v>33.687927999999999</v>
      </c>
      <c r="E55" s="26">
        <v>60.273618167999999</v>
      </c>
      <c r="F55" s="97">
        <f>((Tabla19101113143246144[[#This Row],[Total exportaciones del grupo
 a USA (US$ miles)]]/10)/(Tabla19101113143246144[[#This Row],[Total exportaciones
 a USA (US$ miles)]])/((D55/10000)/E55))</f>
        <v>27.605724235635158</v>
      </c>
      <c r="G55" s="98" t="str">
        <f>IF(Tabla19101113143246144[[#This Row],[Indice de Balassa]]&gt;0.33,"VENTAJA","NO VENTAJA")</f>
        <v>VENTAJA</v>
      </c>
    </row>
    <row r="56" spans="1:25" x14ac:dyDescent="0.25">
      <c r="A56" s="31">
        <v>2013</v>
      </c>
      <c r="B56" s="73">
        <f>'Participación Mundial 08'!C28</f>
        <v>876.74400000000003</v>
      </c>
      <c r="C56" s="26">
        <v>18692.900000000001</v>
      </c>
      <c r="D56" s="26">
        <v>37.224190999999998</v>
      </c>
      <c r="E56" s="26">
        <v>58.821869986999999</v>
      </c>
      <c r="F56" s="97">
        <f>((Tabla19101113143246144[[#This Row],[Total exportaciones del grupo
 a USA (US$ miles)]]/10)/(Tabla19101113143246144[[#This Row],[Total exportaciones
 a USA (US$ miles)]])/((D56/10000)/E56))</f>
        <v>74.115608533705938</v>
      </c>
      <c r="G56" s="98" t="str">
        <f>IF(Tabla19101113143246144[[#This Row],[Indice de Balassa]]&gt;0.33,"VENTAJA","NO VENTAJA")</f>
        <v>VENTAJA</v>
      </c>
    </row>
    <row r="57" spans="1:25" x14ac:dyDescent="0.25">
      <c r="A57" s="31">
        <v>2014</v>
      </c>
      <c r="B57" s="73">
        <f>'Participación Mundial 08'!C29</f>
        <v>233.03800000000001</v>
      </c>
      <c r="C57" s="26">
        <v>14470.7</v>
      </c>
      <c r="D57" s="26">
        <v>36.307394000000002</v>
      </c>
      <c r="E57" s="26">
        <v>54.794812014999998</v>
      </c>
      <c r="F57" s="97">
        <f>((Tabla19101113143246144[[#This Row],[Total exportaciones del grupo
 a USA (US$ miles)]]/10)/(Tabla19101113143246144[[#This Row],[Total exportaciones
 a USA (US$ miles)]])/((D57/10000)/E57))</f>
        <v>24.304213276906129</v>
      </c>
      <c r="G57" s="98" t="str">
        <f>IF(Tabla19101113143246144[[#This Row],[Indice de Balassa]]&gt;0.33,"VENTAJA","NO VENTAJA")</f>
        <v>VENTAJA</v>
      </c>
    </row>
    <row r="58" spans="1:25" x14ac:dyDescent="0.25">
      <c r="A58" s="31">
        <v>2015</v>
      </c>
      <c r="B58" s="73">
        <f>'Participación Mundial 08'!C30</f>
        <v>1012.679</v>
      </c>
      <c r="C58" s="3">
        <v>14074</v>
      </c>
      <c r="D58" s="3">
        <v>31.756077000000001</v>
      </c>
      <c r="E58" s="3">
        <v>35.690766592999999</v>
      </c>
      <c r="F58" s="97">
        <f>((Tabla19101113143246144[[#This Row],[Total exportaciones del grupo
 a USA (US$ miles)]]/10)/(Tabla19101113143246144[[#This Row],[Total exportaciones
 a USA (US$ miles)]])/((D58/10000)/E58))</f>
        <v>80.869226135157959</v>
      </c>
      <c r="G58" s="98" t="str">
        <f>IF(Tabla19101113143246144[[#This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28" t="s">
        <v>24</v>
      </c>
    </row>
    <row r="63" spans="1:25" x14ac:dyDescent="0.25">
      <c r="A63" s="31">
        <v>1991</v>
      </c>
      <c r="B63" s="73" t="e">
        <f>'Balanza c 08'!B2</f>
        <v>#VALUE!</v>
      </c>
      <c r="C63" s="84" t="e">
        <f>'Apertura 08'!B184</f>
        <v>#VALUE!</v>
      </c>
      <c r="D63" s="32" t="e">
        <f>1-(Tabla1910111314123347145[[#This Row],[Balanza Comercial Colombia 
( US$ millones)]]/Tabla1910111314123347145[[#This Row],[Balanza Comercial Absoluta Colombia 
(US$ millones)]])</f>
        <v>#VALUE!</v>
      </c>
      <c r="E63" s="2" t="e">
        <f t="shared" ref="E63:E87" si="0">IF(D63&gt;0.1&lt;0.33,"POTENCIAL CMRCIO INT",IF(D63&gt;0.33,"INDICIOS DE CMRCIO INT",IF(D63&lt;0.1,"REL. INTERINDUSTRIALES")))</f>
        <v>#VALUE!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 t="e">
        <f>'Balanza c 08'!B3</f>
        <v>#VALUE!</v>
      </c>
      <c r="C64" s="84" t="e">
        <f>'Apertura 08'!B185</f>
        <v>#VALUE!</v>
      </c>
      <c r="D64" s="32" t="e">
        <f>1-(Tabla1910111314123347145[[#This Row],[Balanza Comercial Colombia 
( US$ millones)]]/Tabla1910111314123347145[[#This Row],[Balanza Comercial Absoluta Colombia 
(US$ millones)]])</f>
        <v>#VALUE!</v>
      </c>
      <c r="E64" s="2" t="e">
        <f t="shared" si="0"/>
        <v>#VALUE!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>
        <f>'Balanza c 08'!B4</f>
        <v>-28.760020000000001</v>
      </c>
      <c r="C65" s="84">
        <f>'Apertura 08'!B186</f>
        <v>28.761523999999998</v>
      </c>
      <c r="D65" s="32">
        <f>1-(Tabla1910111314123347145[[#This Row],[Balanza Comercial Colombia 
( US$ millones)]]/Tabla1910111314123347145[[#This Row],[Balanza Comercial Absoluta Colombia 
(US$ millones)]])</f>
        <v>1.9999477079170076</v>
      </c>
      <c r="E65" s="2" t="str">
        <f t="shared" si="0"/>
        <v>INDICIOS DE CMRCIO INT</v>
      </c>
      <c r="G65" s="112"/>
      <c r="K65" s="49"/>
      <c r="M65" s="49"/>
      <c r="O65" s="49"/>
    </row>
    <row r="66" spans="1:15" x14ac:dyDescent="0.25">
      <c r="A66" s="31">
        <v>1994</v>
      </c>
      <c r="B66" s="73">
        <f>'Balanza c 08'!B5</f>
        <v>-53.262578999999995</v>
      </c>
      <c r="C66" s="84">
        <f>'Apertura 08'!B187</f>
        <v>53.290269000000002</v>
      </c>
      <c r="D66" s="32">
        <f>1-(Tabla1910111314123347145[[#This Row],[Balanza Comercial Colombia 
( US$ millones)]]/Tabla1910111314123347145[[#This Row],[Balanza Comercial Absoluta Colombia 
(US$ millones)]])</f>
        <v>1.9994803929400318</v>
      </c>
      <c r="E66" s="2" t="str">
        <f t="shared" si="0"/>
        <v>INDICIOS DE CMRCIO INT</v>
      </c>
      <c r="G66" s="112"/>
      <c r="K66" s="49"/>
      <c r="M66" s="52" t="s">
        <v>136</v>
      </c>
      <c r="O66" s="49"/>
    </row>
    <row r="67" spans="1:15" x14ac:dyDescent="0.25">
      <c r="A67" s="31">
        <v>1995</v>
      </c>
      <c r="B67" s="73" t="e">
        <f>'Balanza c 08'!B6</f>
        <v>#VALUE!</v>
      </c>
      <c r="C67" s="84" t="e">
        <f>'Apertura 08'!B188</f>
        <v>#VALUE!</v>
      </c>
      <c r="D67" s="32" t="e">
        <f>1-(Tabla1910111314123347145[[#This Row],[Balanza Comercial Colombia 
( US$ millones)]]/Tabla1910111314123347145[[#This Row],[Balanza Comercial Absoluta Colombia 
(US$ millones)]])</f>
        <v>#VALUE!</v>
      </c>
      <c r="E67" s="2" t="e">
        <f t="shared" si="0"/>
        <v>#VALUE!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08'!B7</f>
        <v>-93.794002999999989</v>
      </c>
      <c r="C68" s="84">
        <f>'Apertura 08'!B189</f>
        <v>93.823773000000003</v>
      </c>
      <c r="D68" s="32">
        <f>1-(Tabla1910111314123347145[[#This Row],[Balanza Comercial Colombia 
( US$ millones)]]/Tabla1910111314123347145[[#This Row],[Balanza Comercial Absoluta Colombia 
(US$ millones)]])</f>
        <v>1.9996827030181357</v>
      </c>
      <c r="E68" s="2" t="str">
        <f t="shared" si="0"/>
        <v>INDICIOS DE CMRCIO INT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>
        <f>'Balanza c 08'!B8</f>
        <v>-85.490116</v>
      </c>
      <c r="C69" s="84">
        <f>'Apertura 08'!B190</f>
        <v>85.499276000000009</v>
      </c>
      <c r="D69" s="32">
        <f>1-(Tabla1910111314123347145[[#This Row],[Balanza Comercial Colombia 
( US$ millones)]]/Tabla1910111314123347145[[#This Row],[Balanza Comercial Absoluta Colombia 
(US$ millones)]])</f>
        <v>1.9998928645898708</v>
      </c>
      <c r="E69" s="2" t="str">
        <f t="shared" si="0"/>
        <v>INDICIOS DE CMRCIO INT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>
        <f>'Balanza c 08'!B9</f>
        <v>-73.765184000000005</v>
      </c>
      <c r="C70" s="84">
        <f>'Apertura 08'!B191</f>
        <v>73.790592000000004</v>
      </c>
      <c r="D70" s="32">
        <f>1-(Tabla1910111314123347145[[#This Row],[Balanza Comercial Colombia 
( US$ millones)]]/Tabla1910111314123347145[[#This Row],[Balanza Comercial Absoluta Colombia 
(US$ millones)]])</f>
        <v>1.9996556742626486</v>
      </c>
      <c r="E70" s="2" t="str">
        <f t="shared" si="0"/>
        <v>INDICIOS DE CMRCIO INT</v>
      </c>
    </row>
    <row r="71" spans="1:15" x14ac:dyDescent="0.25">
      <c r="A71" s="31">
        <v>1999</v>
      </c>
      <c r="B71" s="73" t="e">
        <f>'Balanza c 08'!B10</f>
        <v>#VALUE!</v>
      </c>
      <c r="C71" s="84" t="e">
        <f>'Apertura 08'!B192</f>
        <v>#VALUE!</v>
      </c>
      <c r="D71" s="32" t="e">
        <f>1-(Tabla1910111314123347145[[#This Row],[Balanza Comercial Colombia 
( US$ millones)]]/Tabla1910111314123347145[[#This Row],[Balanza Comercial Absoluta Colombia 
(US$ millones)]])</f>
        <v>#VALUE!</v>
      </c>
      <c r="E71" s="2" t="e">
        <f t="shared" si="0"/>
        <v>#VALUE!</v>
      </c>
    </row>
    <row r="72" spans="1:15" x14ac:dyDescent="0.25">
      <c r="A72" s="31">
        <v>2000</v>
      </c>
      <c r="B72" s="73" t="e">
        <f>'Balanza c 08'!B11</f>
        <v>#VALUE!</v>
      </c>
      <c r="C72" s="84" t="e">
        <f>'Apertura 08'!B193</f>
        <v>#VALUE!</v>
      </c>
      <c r="D72" s="32" t="e">
        <f>1-(Tabla1910111314123347145[[#This Row],[Balanza Comercial Colombia 
( US$ millones)]]/Tabla1910111314123347145[[#This Row],[Balanza Comercial Absoluta Colombia 
(US$ millones)]])</f>
        <v>#VALUE!</v>
      </c>
      <c r="E72" s="2" t="e">
        <f t="shared" si="0"/>
        <v>#VALUE!</v>
      </c>
    </row>
    <row r="73" spans="1:15" x14ac:dyDescent="0.25">
      <c r="A73" s="31">
        <v>2001</v>
      </c>
      <c r="B73" s="73" t="e">
        <f>'Balanza c 08'!B12</f>
        <v>#VALUE!</v>
      </c>
      <c r="C73" s="84" t="e">
        <f>'Apertura 08'!B194</f>
        <v>#VALUE!</v>
      </c>
      <c r="D73" s="32" t="e">
        <f>1-(Tabla1910111314123347145[[#This Row],[Balanza Comercial Colombia 
( US$ millones)]]/Tabla1910111314123347145[[#This Row],[Balanza Comercial Absoluta Colombia 
(US$ millones)]])</f>
        <v>#VALUE!</v>
      </c>
      <c r="E73" s="2" t="e">
        <f t="shared" si="0"/>
        <v>#VALUE!</v>
      </c>
    </row>
    <row r="74" spans="1:15" x14ac:dyDescent="0.25">
      <c r="A74" s="31">
        <v>2002</v>
      </c>
      <c r="B74" s="73">
        <f>'Balanza c 08'!B13</f>
        <v>-32.800066000000001</v>
      </c>
      <c r="C74" s="84">
        <f>'Apertura 08'!B195</f>
        <v>32.943293999999995</v>
      </c>
      <c r="D74" s="32">
        <f>1-(Tabla1910111314123347145[[#This Row],[Balanza Comercial Colombia 
( US$ millones)]]/Tabla1910111314123347145[[#This Row],[Balanza Comercial Absoluta Colombia 
(US$ millones)]])</f>
        <v>1.9956522866231898</v>
      </c>
      <c r="E74" s="2" t="str">
        <f t="shared" si="0"/>
        <v>INDICIOS DE CMRCIO INT</v>
      </c>
    </row>
    <row r="75" spans="1:15" x14ac:dyDescent="0.25">
      <c r="A75" s="31">
        <v>2003</v>
      </c>
      <c r="B75" s="73">
        <f>'Balanza c 08'!B14</f>
        <v>-40.131242999999998</v>
      </c>
      <c r="C75" s="84">
        <f>'Apertura 08'!B196</f>
        <v>40.244766999999996</v>
      </c>
      <c r="D75" s="32">
        <f>1-(Tabla1910111314123347145[[#This Row],[Balanza Comercial Colombia 
( US$ millones)]]/Tabla1910111314123347145[[#This Row],[Balanza Comercial Absoluta Colombia 
(US$ millones)]])</f>
        <v>1.997179161206226</v>
      </c>
      <c r="E75" s="2" t="str">
        <f t="shared" si="0"/>
        <v>INDICIOS DE CMRCIO INT</v>
      </c>
    </row>
    <row r="76" spans="1:15" x14ac:dyDescent="0.25">
      <c r="A76" s="31">
        <v>2004</v>
      </c>
      <c r="B76" s="73">
        <f>'Balanza c 08'!B15</f>
        <v>-64.091941000000006</v>
      </c>
      <c r="C76" s="84">
        <f>'Apertura 08'!B197</f>
        <v>64.318968999999996</v>
      </c>
      <c r="D76" s="32">
        <f>1-(Tabla1910111314123347145[[#This Row],[Balanza Comercial Colombia 
( US$ millones)]]/Tabla1910111314123347145[[#This Row],[Balanza Comercial Absoluta Colombia 
(US$ millones)]])</f>
        <v>1.9964702792421938</v>
      </c>
      <c r="E76" s="2" t="str">
        <f t="shared" si="0"/>
        <v>INDICIOS DE CMRCIO INT</v>
      </c>
    </row>
    <row r="77" spans="1:15" x14ac:dyDescent="0.25">
      <c r="A77" s="31">
        <v>2005</v>
      </c>
      <c r="B77" s="73">
        <f>'Balanza c 08'!B16</f>
        <v>-91.434837999999999</v>
      </c>
      <c r="C77" s="84">
        <f>'Apertura 08'!B198</f>
        <v>91.868800000000007</v>
      </c>
      <c r="D77" s="32">
        <f>1-(Tabla1910111314123347145[[#This Row],[Balanza Comercial Colombia 
( US$ millones)]]/Tabla1910111314123347145[[#This Row],[Balanza Comercial Absoluta Colombia 
(US$ millones)]])</f>
        <v>1.9952762853112262</v>
      </c>
      <c r="E77" s="2" t="str">
        <f t="shared" si="0"/>
        <v>INDICIOS DE CMRCIO INT</v>
      </c>
    </row>
    <row r="78" spans="1:15" x14ac:dyDescent="0.25">
      <c r="A78" s="31">
        <v>2006</v>
      </c>
      <c r="B78" s="73">
        <f>'Balanza c 08'!B17</f>
        <v>-134.68638800000002</v>
      </c>
      <c r="C78" s="84">
        <f>'Apertura 08'!B199</f>
        <v>135.522718</v>
      </c>
      <c r="D78" s="32">
        <f>1-(Tabla1910111314123347145[[#This Row],[Balanza Comercial Colombia 
( US$ millones)]]/Tabla1910111314123347145[[#This Row],[Balanza Comercial Absoluta Colombia 
(US$ millones)]])</f>
        <v>1.9938288575351626</v>
      </c>
      <c r="E78" s="2" t="str">
        <f t="shared" si="0"/>
        <v>INDICIOS DE CMRCIO INT</v>
      </c>
    </row>
    <row r="79" spans="1:15" x14ac:dyDescent="0.25">
      <c r="A79" s="31">
        <v>2007</v>
      </c>
      <c r="B79" s="73">
        <f>'Balanza c 08'!B18</f>
        <v>-168.004795</v>
      </c>
      <c r="C79" s="84">
        <f>'Apertura 08'!B200</f>
        <v>168.819749</v>
      </c>
      <c r="D79" s="32">
        <f>1-(Tabla1910111314123347145[[#This Row],[Balanza Comercial Colombia 
( US$ millones)]]/Tabla1910111314123347145[[#This Row],[Balanza Comercial Absoluta Colombia 
(US$ millones)]])</f>
        <v>1.9951726382438824</v>
      </c>
      <c r="E79" s="2" t="str">
        <f t="shared" si="0"/>
        <v>INDICIOS DE CMRCIO INT</v>
      </c>
    </row>
    <row r="80" spans="1:15" x14ac:dyDescent="0.25">
      <c r="A80" s="31">
        <v>2008</v>
      </c>
      <c r="B80" s="73">
        <f>'Balanza c 08'!B19</f>
        <v>-256.478207</v>
      </c>
      <c r="C80" s="84">
        <f>'Apertura 08'!B201</f>
        <v>258.10175700000002</v>
      </c>
      <c r="D80" s="32">
        <f>1-(Tabla1910111314123347145[[#This Row],[Balanza Comercial Colombia 
( US$ millones)]]/Tabla1910111314123347145[[#This Row],[Balanza Comercial Absoluta Colombia 
(US$ millones)]])</f>
        <v>1.9937096514999701</v>
      </c>
      <c r="E80" s="2" t="str">
        <f t="shared" si="0"/>
        <v>INDICIOS DE CMRCIO INT</v>
      </c>
    </row>
    <row r="81" spans="1:5" x14ac:dyDescent="0.25">
      <c r="A81" s="31">
        <v>2009</v>
      </c>
      <c r="B81" s="73">
        <f>'Balanza c 08'!B20</f>
        <v>-112.34783300000001</v>
      </c>
      <c r="C81" s="84">
        <f>'Apertura 08'!B202</f>
        <v>112.949793</v>
      </c>
      <c r="D81" s="32">
        <f>1-(Tabla1910111314123347145[[#This Row],[Balanza Comercial Colombia 
( US$ millones)]]/Tabla1910111314123347145[[#This Row],[Balanza Comercial Absoluta Colombia 
(US$ millones)]])</f>
        <v>1.9946705524285469</v>
      </c>
      <c r="E81" s="2" t="str">
        <f t="shared" si="0"/>
        <v>INDICIOS DE CMRCIO INT</v>
      </c>
    </row>
    <row r="82" spans="1:5" x14ac:dyDescent="0.25">
      <c r="A82" s="31">
        <v>2010</v>
      </c>
      <c r="B82" s="73">
        <f>'Balanza c 08'!B21</f>
        <v>-96.924306999999999</v>
      </c>
      <c r="C82" s="84">
        <f>'Apertura 08'!B203</f>
        <v>98.167418999999995</v>
      </c>
      <c r="D82" s="32">
        <f>1-(Tabla1910111314123347145[[#This Row],[Balanza Comercial Colombia 
( US$ millones)]]/Tabla1910111314123347145[[#This Row],[Balanza Comercial Absoluta Colombia 
(US$ millones)]])</f>
        <v>1.9873368169127479</v>
      </c>
      <c r="E82" s="2" t="str">
        <f t="shared" si="0"/>
        <v>INDICIOS DE CMRCIO INT</v>
      </c>
    </row>
    <row r="83" spans="1:5" x14ac:dyDescent="0.25">
      <c r="A83" s="31">
        <v>2011</v>
      </c>
      <c r="B83" s="73">
        <f>'Balanza c 08'!B22</f>
        <v>-146.957853</v>
      </c>
      <c r="C83" s="84">
        <f>'Apertura 08'!B204</f>
        <v>148.172009</v>
      </c>
      <c r="D83" s="32">
        <f>1-(Tabla1910111314123347145[[#This Row],[Balanza Comercial Colombia 
( US$ millones)]]/Tabla1910111314123347145[[#This Row],[Balanza Comercial Absoluta Colombia 
(US$ millones)]])</f>
        <v>1.9918057667693498</v>
      </c>
      <c r="E83" s="2" t="str">
        <f t="shared" si="0"/>
        <v>INDICIOS DE CMRCIO INT</v>
      </c>
    </row>
    <row r="84" spans="1:5" x14ac:dyDescent="0.25">
      <c r="A84" s="31">
        <v>2012</v>
      </c>
      <c r="B84" s="73">
        <f>'Balanza c 08'!B23</f>
        <v>-214.00328999999999</v>
      </c>
      <c r="C84" s="84">
        <f>'Apertura 08'!B205</f>
        <v>214.688852</v>
      </c>
      <c r="D84" s="32">
        <f>1-(Tabla1910111314123347145[[#This Row],[Balanza Comercial Colombia 
( US$ millones)]]/Tabla1910111314123347145[[#This Row],[Balanza Comercial Absoluta Colombia 
(US$ millones)]])</f>
        <v>1.996806718217488</v>
      </c>
      <c r="E84" s="2" t="str">
        <f t="shared" si="0"/>
        <v>INDICIOS DE CMRCIO INT</v>
      </c>
    </row>
    <row r="85" spans="1:5" x14ac:dyDescent="0.25">
      <c r="A85" s="31">
        <v>2013</v>
      </c>
      <c r="B85" s="73">
        <f>'Balanza c 08'!B24</f>
        <v>-318.34703400000001</v>
      </c>
      <c r="C85" s="84">
        <f>'Apertura 08'!B206</f>
        <v>320.10052199999996</v>
      </c>
      <c r="D85" s="32">
        <f>1-(Tabla1910111314123347145[[#This Row],[Balanza Comercial Colombia 
( US$ millones)]]/Tabla1910111314123347145[[#This Row],[Balanza Comercial Absoluta Colombia 
(US$ millones)]])</f>
        <v>1.9945220707887508</v>
      </c>
      <c r="E85" s="2" t="str">
        <f t="shared" si="0"/>
        <v>INDICIOS DE CMRCIO INT</v>
      </c>
    </row>
    <row r="86" spans="1:5" x14ac:dyDescent="0.25">
      <c r="A86" s="31">
        <v>2014</v>
      </c>
      <c r="B86" s="73">
        <f>'Balanza c 08'!B25</f>
        <v>-370.02300199999996</v>
      </c>
      <c r="C86" s="84">
        <f>'Apertura 08'!B207</f>
        <v>370.48907800000001</v>
      </c>
      <c r="D86" s="32">
        <f>1-(Tabla1910111314123347145[[#This Row],[Balanza Comercial Colombia 
( US$ millones)]]/Tabla1910111314123347145[[#This Row],[Balanza Comercial Absoluta Colombia 
(US$ millones)]])</f>
        <v>1.9987419980029748</v>
      </c>
      <c r="E86" s="2" t="str">
        <f t="shared" si="0"/>
        <v>INDICIOS DE CMRCIO INT</v>
      </c>
    </row>
    <row r="87" spans="1:5" x14ac:dyDescent="0.25">
      <c r="A87" s="31">
        <v>2015</v>
      </c>
      <c r="B87" s="73">
        <f>'Balanza c 08'!B26</f>
        <v>-469.22317800000002</v>
      </c>
      <c r="C87" s="84">
        <f>'Apertura 08'!B208</f>
        <v>471.248536</v>
      </c>
      <c r="D87" s="32">
        <f>1-(Tabla1910111314123347145[[#This Row],[Balanza Comercial Colombia 
( US$ millones)]]/Tabla1910111314123347145[[#This Row],[Balanza Comercial Absoluta Colombia 
(US$ millones)]])</f>
        <v>1.9957021447383341</v>
      </c>
      <c r="E87" s="2" t="str">
        <f t="shared" si="0"/>
        <v>INDICIOS DE CMRCIO INT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1" priority="3" operator="lessThan">
      <formula>0</formula>
    </cfRule>
  </conditionalFormatting>
  <conditionalFormatting sqref="E63:E87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1" sqref="B1"/>
    </sheetView>
  </sheetViews>
  <sheetFormatPr baseColWidth="10" defaultRowHeight="15" x14ac:dyDescent="0.25"/>
  <cols>
    <col min="2" max="2" width="13.42578125" customWidth="1"/>
  </cols>
  <sheetData>
    <row r="1" spans="1:2" ht="60" x14ac:dyDescent="0.25">
      <c r="A1" s="34" t="s">
        <v>3</v>
      </c>
      <c r="B1" s="34" t="s">
        <v>155</v>
      </c>
    </row>
    <row r="2" spans="1:2" x14ac:dyDescent="0.25">
      <c r="A2" s="54">
        <v>1991</v>
      </c>
      <c r="B2" s="93">
        <v>1.0422279999999999</v>
      </c>
    </row>
    <row r="3" spans="1:2" x14ac:dyDescent="0.25">
      <c r="A3" s="55">
        <v>1992</v>
      </c>
      <c r="B3" s="93">
        <v>1.5849740000000001</v>
      </c>
    </row>
    <row r="4" spans="1:2" x14ac:dyDescent="0.25">
      <c r="A4" s="54">
        <v>1993</v>
      </c>
      <c r="B4" s="93">
        <v>1.24962</v>
      </c>
    </row>
    <row r="5" spans="1:2" x14ac:dyDescent="0.25">
      <c r="A5" s="55">
        <v>1994</v>
      </c>
      <c r="B5" s="93">
        <v>2.041169</v>
      </c>
    </row>
    <row r="6" spans="1:2" x14ac:dyDescent="0.25">
      <c r="A6" s="54">
        <v>1995</v>
      </c>
      <c r="B6" s="93">
        <v>1.4371849999999999</v>
      </c>
    </row>
    <row r="7" spans="1:2" x14ac:dyDescent="0.25">
      <c r="A7" s="55">
        <v>1996</v>
      </c>
      <c r="B7" s="93">
        <v>1.515906</v>
      </c>
    </row>
    <row r="8" spans="1:2" x14ac:dyDescent="0.25">
      <c r="A8" s="54">
        <v>1997</v>
      </c>
      <c r="B8" s="93">
        <v>1.349143</v>
      </c>
    </row>
    <row r="9" spans="1:2" x14ac:dyDescent="0.25">
      <c r="A9" s="55">
        <v>1998</v>
      </c>
      <c r="B9" s="93">
        <v>1.042678</v>
      </c>
    </row>
    <row r="10" spans="1:2" x14ac:dyDescent="0.25">
      <c r="A10" s="54">
        <v>1999</v>
      </c>
      <c r="B10" s="93">
        <v>1.478</v>
      </c>
    </row>
    <row r="11" spans="1:2" x14ac:dyDescent="0.25">
      <c r="A11" s="55">
        <v>2000</v>
      </c>
      <c r="B11" s="93">
        <v>1.979636</v>
      </c>
    </row>
    <row r="12" spans="1:2" x14ac:dyDescent="0.25">
      <c r="A12" s="55">
        <v>2001</v>
      </c>
      <c r="B12" s="93">
        <v>4.2792539999999999</v>
      </c>
    </row>
    <row r="13" spans="1:2" x14ac:dyDescent="0.25">
      <c r="A13" s="55">
        <v>2002</v>
      </c>
      <c r="B13" s="93">
        <v>3.681295</v>
      </c>
    </row>
    <row r="14" spans="1:2" x14ac:dyDescent="0.25">
      <c r="A14" s="54">
        <v>2003</v>
      </c>
      <c r="B14" s="93">
        <v>5.1394549999999999</v>
      </c>
    </row>
    <row r="15" spans="1:2" x14ac:dyDescent="0.25">
      <c r="A15" s="55">
        <v>2004</v>
      </c>
      <c r="B15" s="93">
        <v>8.7669619999999995</v>
      </c>
    </row>
    <row r="16" spans="1:2" x14ac:dyDescent="0.25">
      <c r="A16" s="54">
        <v>2005</v>
      </c>
      <c r="B16" s="93">
        <v>19.191551</v>
      </c>
    </row>
    <row r="17" spans="1:2" x14ac:dyDescent="0.25">
      <c r="A17" s="55">
        <v>2006</v>
      </c>
      <c r="B17" s="93">
        <v>15.957020999999999</v>
      </c>
    </row>
    <row r="18" spans="1:2" x14ac:dyDescent="0.25">
      <c r="A18" s="54">
        <v>2007</v>
      </c>
      <c r="B18" s="93">
        <v>17.968544000000001</v>
      </c>
    </row>
    <row r="19" spans="1:2" x14ac:dyDescent="0.25">
      <c r="A19" s="55">
        <v>2008</v>
      </c>
      <c r="B19" s="93">
        <v>19.799885</v>
      </c>
    </row>
    <row r="20" spans="1:2" x14ac:dyDescent="0.25">
      <c r="A20" s="54">
        <v>2009</v>
      </c>
      <c r="B20" s="93">
        <v>18.206178000000001</v>
      </c>
    </row>
    <row r="21" spans="1:2" x14ac:dyDescent="0.25">
      <c r="A21" s="55">
        <v>2010</v>
      </c>
      <c r="B21" s="93">
        <v>23.231349999999999</v>
      </c>
    </row>
    <row r="22" spans="1:2" x14ac:dyDescent="0.25">
      <c r="A22" s="54">
        <v>2011</v>
      </c>
      <c r="B22" s="93">
        <v>22.369783999999999</v>
      </c>
    </row>
    <row r="23" spans="1:2" x14ac:dyDescent="0.25">
      <c r="A23" s="55">
        <v>2012</v>
      </c>
      <c r="B23" s="93">
        <v>27.756962999999999</v>
      </c>
    </row>
    <row r="24" spans="1:2" x14ac:dyDescent="0.25">
      <c r="A24" s="54">
        <v>2013</v>
      </c>
      <c r="B24" s="93">
        <v>21.177413000000001</v>
      </c>
    </row>
    <row r="25" spans="1:2" x14ac:dyDescent="0.25">
      <c r="A25" s="55">
        <v>2014</v>
      </c>
      <c r="B25" s="93">
        <v>17.432943000000002</v>
      </c>
    </row>
    <row r="26" spans="1:2" x14ac:dyDescent="0.25">
      <c r="A26" s="54">
        <v>2015</v>
      </c>
      <c r="B26" s="93">
        <v>16.877009000000001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" sqref="B2:B26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34" t="s">
        <v>3</v>
      </c>
      <c r="B1" s="34" t="s">
        <v>141</v>
      </c>
    </row>
    <row r="2" spans="1:2" x14ac:dyDescent="0.25">
      <c r="A2" s="54">
        <v>1991</v>
      </c>
      <c r="B2" s="121">
        <v>3.331747</v>
      </c>
    </row>
    <row r="3" spans="1:2" x14ac:dyDescent="0.25">
      <c r="A3" s="55">
        <v>1992</v>
      </c>
      <c r="B3" s="121">
        <v>3.9960550000000001</v>
      </c>
    </row>
    <row r="4" spans="1:2" x14ac:dyDescent="0.25">
      <c r="A4" s="54">
        <v>1993</v>
      </c>
      <c r="B4" s="121">
        <v>8.5819220000000005</v>
      </c>
    </row>
    <row r="5" spans="1:2" x14ac:dyDescent="0.25">
      <c r="A5" s="55">
        <v>1994</v>
      </c>
      <c r="B5" s="121">
        <v>9.8553080000000008</v>
      </c>
    </row>
    <row r="6" spans="1:2" x14ac:dyDescent="0.25">
      <c r="A6" s="54">
        <v>1995</v>
      </c>
      <c r="B6" s="121">
        <v>13.397544</v>
      </c>
    </row>
    <row r="7" spans="1:2" x14ac:dyDescent="0.25">
      <c r="A7" s="55">
        <v>1996</v>
      </c>
      <c r="B7" s="121">
        <v>14.597754999999999</v>
      </c>
    </row>
    <row r="8" spans="1:2" x14ac:dyDescent="0.25">
      <c r="A8" s="54">
        <v>1997</v>
      </c>
      <c r="B8" s="121">
        <v>17.202976</v>
      </c>
    </row>
    <row r="9" spans="1:2" x14ac:dyDescent="0.25">
      <c r="A9" s="55">
        <v>1998</v>
      </c>
      <c r="B9" s="121">
        <v>18.203968</v>
      </c>
    </row>
    <row r="10" spans="1:2" x14ac:dyDescent="0.25">
      <c r="A10" s="54">
        <v>1999</v>
      </c>
      <c r="B10" s="121">
        <v>21.820636</v>
      </c>
    </row>
    <row r="11" spans="1:2" x14ac:dyDescent="0.25">
      <c r="A11" s="55">
        <v>2000</v>
      </c>
      <c r="B11" s="121">
        <v>13.706878</v>
      </c>
    </row>
    <row r="12" spans="1:2" x14ac:dyDescent="0.25">
      <c r="A12" s="54">
        <v>2001</v>
      </c>
      <c r="B12" s="121">
        <v>14.49283</v>
      </c>
    </row>
    <row r="13" spans="1:2" x14ac:dyDescent="0.25">
      <c r="A13" s="55">
        <v>2002</v>
      </c>
      <c r="B13" s="121">
        <v>17.436653</v>
      </c>
    </row>
    <row r="14" spans="1:2" x14ac:dyDescent="0.25">
      <c r="A14" s="54">
        <v>2003</v>
      </c>
      <c r="B14" s="121">
        <v>16.116531999999999</v>
      </c>
    </row>
    <row r="15" spans="1:2" x14ac:dyDescent="0.25">
      <c r="A15" s="55">
        <v>2004</v>
      </c>
      <c r="B15" s="121">
        <v>19.024771000000001</v>
      </c>
    </row>
    <row r="16" spans="1:2" x14ac:dyDescent="0.25">
      <c r="A16" s="54">
        <v>2005</v>
      </c>
      <c r="B16" s="121">
        <v>20.507144</v>
      </c>
    </row>
    <row r="17" spans="1:2" x14ac:dyDescent="0.25">
      <c r="A17" s="55">
        <v>2006</v>
      </c>
      <c r="B17" s="121">
        <v>32.155056999999999</v>
      </c>
    </row>
    <row r="18" spans="1:2" x14ac:dyDescent="0.25">
      <c r="A18" s="54">
        <v>2007</v>
      </c>
      <c r="B18" s="121">
        <v>37.265571999999999</v>
      </c>
    </row>
    <row r="19" spans="1:2" x14ac:dyDescent="0.25">
      <c r="A19" s="55">
        <v>2008</v>
      </c>
      <c r="B19" s="121">
        <v>42.939801000000003</v>
      </c>
    </row>
    <row r="20" spans="1:2" x14ac:dyDescent="0.25">
      <c r="A20" s="54">
        <v>2009</v>
      </c>
      <c r="B20" s="121">
        <v>48.350667999999999</v>
      </c>
    </row>
    <row r="21" spans="1:2" x14ac:dyDescent="0.25">
      <c r="A21" s="55">
        <v>2010</v>
      </c>
      <c r="B21" s="121">
        <v>49.965361000000001</v>
      </c>
    </row>
    <row r="22" spans="1:2" x14ac:dyDescent="0.25">
      <c r="A22" s="54">
        <v>2011</v>
      </c>
      <c r="B22" s="121">
        <v>74.036721999999997</v>
      </c>
    </row>
    <row r="23" spans="1:2" x14ac:dyDescent="0.25">
      <c r="A23" s="55">
        <v>2012</v>
      </c>
      <c r="B23" s="121">
        <v>108.397113</v>
      </c>
    </row>
    <row r="24" spans="1:2" x14ac:dyDescent="0.25">
      <c r="A24" s="54">
        <v>2013</v>
      </c>
      <c r="B24" s="121">
        <v>101.897245</v>
      </c>
    </row>
    <row r="25" spans="1:2" x14ac:dyDescent="0.25">
      <c r="A25" s="55">
        <v>2014</v>
      </c>
      <c r="B25" s="121">
        <v>120.79994499999999</v>
      </c>
    </row>
    <row r="26" spans="1:2" x14ac:dyDescent="0.25">
      <c r="A26" s="54">
        <v>2015</v>
      </c>
      <c r="B26" s="121">
        <v>116.24860099999999</v>
      </c>
    </row>
    <row r="27" spans="1:2" x14ac:dyDescent="0.25">
      <c r="A27" t="s">
        <v>117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218" zoomScale="110" zoomScaleNormal="110" workbookViewId="0">
      <selection activeCell="E184" sqref="E184:E208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4.28515625" bestFit="1" customWidth="1"/>
    <col min="6" max="6" width="13.28515625" customWidth="1"/>
    <col min="7" max="8" width="12.5703125" customWidth="1"/>
    <col min="9" max="9" width="3.7109375" customWidth="1"/>
    <col min="11" max="11" width="12.28515625" bestFit="1" customWidth="1"/>
  </cols>
  <sheetData>
    <row r="1" spans="1:10" x14ac:dyDescent="0.25">
      <c r="A1" s="7" t="s">
        <v>12</v>
      </c>
    </row>
    <row r="3" spans="1:10" x14ac:dyDescent="0.25">
      <c r="B3" s="7"/>
    </row>
    <row r="4" spans="1:10" x14ac:dyDescent="0.25">
      <c r="A4" s="7"/>
      <c r="B4" s="7"/>
      <c r="C4" s="119"/>
      <c r="D4" s="7"/>
    </row>
    <row r="5" spans="1:10" ht="15.75" x14ac:dyDescent="0.25">
      <c r="A5" s="129" t="s">
        <v>46</v>
      </c>
      <c r="B5" s="129"/>
      <c r="C5" s="129"/>
      <c r="D5" s="129"/>
    </row>
    <row r="6" spans="1:10" ht="60" x14ac:dyDescent="0.25">
      <c r="A6" s="12" t="s">
        <v>3</v>
      </c>
      <c r="B6" s="13" t="s">
        <v>13</v>
      </c>
      <c r="C6" s="13" t="s">
        <v>9</v>
      </c>
      <c r="D6" s="14" t="s">
        <v>4</v>
      </c>
    </row>
    <row r="7" spans="1:10" x14ac:dyDescent="0.25">
      <c r="A7" s="10">
        <v>1991</v>
      </c>
      <c r="B7" s="93">
        <f>'Export 09'!B2</f>
        <v>1.0422279999999999</v>
      </c>
      <c r="C7" s="5">
        <v>41239.551378248201</v>
      </c>
      <c r="D7" s="124">
        <f t="shared" ref="D7:D31" si="0">B7/C7</f>
        <v>2.5272534864424423E-5</v>
      </c>
      <c r="F7" s="7" t="s">
        <v>11</v>
      </c>
      <c r="I7" s="1" t="s">
        <v>10</v>
      </c>
      <c r="J7" s="7" t="s">
        <v>5</v>
      </c>
    </row>
    <row r="8" spans="1:10" x14ac:dyDescent="0.25">
      <c r="A8" s="10">
        <v>1992</v>
      </c>
      <c r="B8" s="93">
        <f>'Export 09'!B3</f>
        <v>1.5849740000000001</v>
      </c>
      <c r="C8" s="5">
        <v>49279.585355094838</v>
      </c>
      <c r="D8" s="124">
        <f t="shared" si="0"/>
        <v>3.216289237377147E-5</v>
      </c>
    </row>
    <row r="9" spans="1:10" x14ac:dyDescent="0.25">
      <c r="A9" s="10">
        <v>1993</v>
      </c>
      <c r="B9" s="93">
        <f>'Export 09'!B4</f>
        <v>1.24962</v>
      </c>
      <c r="C9" s="5">
        <v>55802.540100979531</v>
      </c>
      <c r="D9" s="124">
        <f t="shared" si="0"/>
        <v>2.239360426494393E-5</v>
      </c>
    </row>
    <row r="10" spans="1:10" x14ac:dyDescent="0.25">
      <c r="A10" s="10">
        <v>1994</v>
      </c>
      <c r="B10" s="93">
        <f>'Export 09'!B5</f>
        <v>2.041169</v>
      </c>
      <c r="C10" s="5">
        <v>81703.496603993364</v>
      </c>
      <c r="D10" s="124">
        <f t="shared" si="0"/>
        <v>2.4982639481065187E-5</v>
      </c>
    </row>
    <row r="11" spans="1:10" x14ac:dyDescent="0.25">
      <c r="A11" s="10">
        <v>1995</v>
      </c>
      <c r="B11" s="93">
        <f>'Export 09'!B6</f>
        <v>1.4371849999999999</v>
      </c>
      <c r="C11" s="5">
        <v>92507.277798198498</v>
      </c>
      <c r="D11" s="124">
        <f t="shared" si="0"/>
        <v>1.5535912786615237E-5</v>
      </c>
    </row>
    <row r="12" spans="1:10" x14ac:dyDescent="0.25">
      <c r="A12" s="10">
        <v>1996</v>
      </c>
      <c r="B12" s="93">
        <f>'Export 09'!B7</f>
        <v>1.515906</v>
      </c>
      <c r="C12" s="5">
        <v>97160.111573336981</v>
      </c>
      <c r="D12" s="124">
        <f t="shared" si="0"/>
        <v>1.5602143466619899E-5</v>
      </c>
    </row>
    <row r="13" spans="1:10" x14ac:dyDescent="0.25">
      <c r="A13" s="10">
        <v>1997</v>
      </c>
      <c r="B13" s="93">
        <f>'Export 09'!B8</f>
        <v>1.349143</v>
      </c>
      <c r="C13" s="5">
        <v>106659.5079635281</v>
      </c>
      <c r="D13" s="124">
        <f t="shared" si="0"/>
        <v>1.2649064539668938E-5</v>
      </c>
    </row>
    <row r="14" spans="1:10" x14ac:dyDescent="0.25">
      <c r="A14" s="10">
        <v>1998</v>
      </c>
      <c r="B14" s="93">
        <f>'Export 09'!B9</f>
        <v>1.042678</v>
      </c>
      <c r="C14" s="5">
        <v>98443.743190849113</v>
      </c>
      <c r="D14" s="124">
        <f t="shared" si="0"/>
        <v>1.0591612693745301E-5</v>
      </c>
    </row>
    <row r="15" spans="1:10" x14ac:dyDescent="0.25">
      <c r="A15" s="10">
        <v>1999</v>
      </c>
      <c r="B15" s="93">
        <f>'Export 09'!B10</f>
        <v>1.478</v>
      </c>
      <c r="C15" s="5">
        <v>86186.156584381664</v>
      </c>
      <c r="D15" s="124">
        <f t="shared" si="0"/>
        <v>1.7148925750656315E-5</v>
      </c>
    </row>
    <row r="16" spans="1:10" x14ac:dyDescent="0.25">
      <c r="A16" s="10">
        <v>2000</v>
      </c>
      <c r="B16" s="93">
        <f>'Export 09'!B11</f>
        <v>1.979636</v>
      </c>
      <c r="C16" s="5">
        <v>99886.577575544405</v>
      </c>
      <c r="D16" s="124">
        <f t="shared" si="0"/>
        <v>1.9818839007701485E-5</v>
      </c>
    </row>
    <row r="17" spans="1:4" x14ac:dyDescent="0.25">
      <c r="A17" s="10">
        <v>2001</v>
      </c>
      <c r="B17" s="93">
        <f>'Export 09'!B12</f>
        <v>4.2792539999999999</v>
      </c>
      <c r="C17" s="5">
        <v>98203.544965267793</v>
      </c>
      <c r="D17" s="124">
        <f t="shared" si="0"/>
        <v>4.3575351597678762E-5</v>
      </c>
    </row>
    <row r="18" spans="1:4" x14ac:dyDescent="0.25">
      <c r="A18" s="10">
        <v>2002</v>
      </c>
      <c r="B18" s="93">
        <f>'Export 09'!B13</f>
        <v>3.681295</v>
      </c>
      <c r="C18" s="5">
        <v>97933.392356425262</v>
      </c>
      <c r="D18" s="124">
        <f t="shared" si="0"/>
        <v>3.7589783335617043E-5</v>
      </c>
    </row>
    <row r="19" spans="1:4" x14ac:dyDescent="0.25">
      <c r="A19" s="10">
        <v>2003</v>
      </c>
      <c r="B19" s="93">
        <f>'Export 09'!B14</f>
        <v>5.1394549999999999</v>
      </c>
      <c r="C19" s="5">
        <v>94684.582573316715</v>
      </c>
      <c r="D19" s="124">
        <f t="shared" si="0"/>
        <v>5.4279745026286486E-5</v>
      </c>
    </row>
    <row r="20" spans="1:4" x14ac:dyDescent="0.25">
      <c r="A20" s="10">
        <v>2004</v>
      </c>
      <c r="B20" s="93">
        <f>'Export 09'!B15</f>
        <v>8.7669619999999995</v>
      </c>
      <c r="C20" s="5">
        <v>117074.86551527939</v>
      </c>
      <c r="D20" s="124">
        <f t="shared" si="0"/>
        <v>7.4883383050786654E-5</v>
      </c>
    </row>
    <row r="21" spans="1:4" x14ac:dyDescent="0.25">
      <c r="A21" s="10">
        <v>2005</v>
      </c>
      <c r="B21" s="93">
        <f>'Export 09'!B16</f>
        <v>19.191551</v>
      </c>
      <c r="C21" s="5">
        <v>146566.26631057015</v>
      </c>
      <c r="D21" s="124">
        <f t="shared" si="0"/>
        <v>1.3094111955703092E-4</v>
      </c>
    </row>
    <row r="22" spans="1:4" x14ac:dyDescent="0.25">
      <c r="A22" s="10">
        <v>2006</v>
      </c>
      <c r="B22" s="93">
        <f>'Export 09'!B17</f>
        <v>15.957020999999999</v>
      </c>
      <c r="C22" s="5">
        <v>162590.1460964143</v>
      </c>
      <c r="D22" s="124">
        <f t="shared" si="0"/>
        <v>9.8142608166042533E-5</v>
      </c>
    </row>
    <row r="23" spans="1:4" x14ac:dyDescent="0.25">
      <c r="A23" s="10">
        <v>2007</v>
      </c>
      <c r="B23" s="93">
        <f>'Export 09'!B18</f>
        <v>17.968544000000001</v>
      </c>
      <c r="C23" s="5">
        <v>207416.49464237894</v>
      </c>
      <c r="D23" s="124">
        <f t="shared" si="0"/>
        <v>8.6630255857813074E-5</v>
      </c>
    </row>
    <row r="24" spans="1:4" x14ac:dyDescent="0.25">
      <c r="A24" s="10">
        <v>2008</v>
      </c>
      <c r="B24" s="93">
        <f>'Export 09'!B19</f>
        <v>19.799885</v>
      </c>
      <c r="C24" s="5">
        <v>243982.43787084011</v>
      </c>
      <c r="D24" s="124">
        <f t="shared" si="0"/>
        <v>8.115291072909805E-5</v>
      </c>
    </row>
    <row r="25" spans="1:4" x14ac:dyDescent="0.25">
      <c r="A25" s="10">
        <v>2009</v>
      </c>
      <c r="B25" s="93">
        <f>'Export 09'!B20</f>
        <v>18.206178000000001</v>
      </c>
      <c r="C25" s="5">
        <v>233821.6705442575</v>
      </c>
      <c r="D25" s="124">
        <f t="shared" si="0"/>
        <v>7.7863518627773875E-5</v>
      </c>
    </row>
    <row r="26" spans="1:4" x14ac:dyDescent="0.25">
      <c r="A26" s="10">
        <v>2010</v>
      </c>
      <c r="B26" s="93">
        <f>'Export 09'!B21</f>
        <v>23.231349999999999</v>
      </c>
      <c r="C26" s="5">
        <v>287018.18463752925</v>
      </c>
      <c r="D26" s="124">
        <f t="shared" si="0"/>
        <v>8.0940341913661345E-5</v>
      </c>
    </row>
    <row r="27" spans="1:4" x14ac:dyDescent="0.25">
      <c r="A27" s="10">
        <v>2011</v>
      </c>
      <c r="B27" s="93">
        <f>'Export 09'!B22</f>
        <v>22.369783999999999</v>
      </c>
      <c r="C27" s="5">
        <v>335415.15670218616</v>
      </c>
      <c r="D27" s="124">
        <f t="shared" si="0"/>
        <v>6.6692823961625699E-5</v>
      </c>
    </row>
    <row r="28" spans="1:4" x14ac:dyDescent="0.25">
      <c r="A28" s="10">
        <v>2012</v>
      </c>
      <c r="B28" s="93">
        <f>'Export 09'!B23</f>
        <v>27.756962999999999</v>
      </c>
      <c r="C28" s="5">
        <v>369659.70037551981</v>
      </c>
      <c r="D28" s="124">
        <f t="shared" si="0"/>
        <v>7.5087879397735304E-5</v>
      </c>
    </row>
    <row r="29" spans="1:4" x14ac:dyDescent="0.25">
      <c r="A29" s="10">
        <v>2013</v>
      </c>
      <c r="B29" s="93">
        <f>'Export 09'!B24</f>
        <v>21.177413000000001</v>
      </c>
      <c r="C29" s="5">
        <v>380191.88186037214</v>
      </c>
      <c r="D29" s="124">
        <f t="shared" si="0"/>
        <v>5.5701907406264766E-5</v>
      </c>
    </row>
    <row r="30" spans="1:4" x14ac:dyDescent="0.25">
      <c r="A30" s="10">
        <v>2014</v>
      </c>
      <c r="B30" s="93">
        <f>'Export 09'!B25</f>
        <v>17.432943000000002</v>
      </c>
      <c r="C30" s="5">
        <v>378416.02053371473</v>
      </c>
      <c r="D30" s="124">
        <f t="shared" si="0"/>
        <v>4.6068194933747062E-5</v>
      </c>
    </row>
    <row r="31" spans="1:4" x14ac:dyDescent="0.25">
      <c r="A31" s="11">
        <v>2015</v>
      </c>
      <c r="B31" s="93">
        <f>'Export 09'!B26</f>
        <v>16.877009000000001</v>
      </c>
      <c r="C31" s="6">
        <v>292080.15563330991</v>
      </c>
      <c r="D31" s="124">
        <f t="shared" si="0"/>
        <v>5.7782114513757414E-5</v>
      </c>
    </row>
    <row r="32" spans="1:4" x14ac:dyDescent="0.25">
      <c r="A32" t="s">
        <v>94</v>
      </c>
    </row>
    <row r="34" spans="1:10" x14ac:dyDescent="0.25">
      <c r="A34" s="131" t="s">
        <v>47</v>
      </c>
      <c r="B34" s="132"/>
      <c r="C34" s="132"/>
      <c r="D34" s="133"/>
    </row>
    <row r="35" spans="1:10" ht="60" x14ac:dyDescent="0.25">
      <c r="A35" s="12" t="s">
        <v>3</v>
      </c>
      <c r="B35" s="13" t="s">
        <v>41</v>
      </c>
      <c r="C35" s="13" t="s">
        <v>9</v>
      </c>
      <c r="D35" s="14" t="s">
        <v>40</v>
      </c>
    </row>
    <row r="36" spans="1:10" x14ac:dyDescent="0.25">
      <c r="A36" s="10">
        <v>1991</v>
      </c>
      <c r="B36" s="93">
        <f>'Import 09'!B2</f>
        <v>3.331747</v>
      </c>
      <c r="C36" s="5">
        <v>41239.551378248172</v>
      </c>
      <c r="D36" s="123">
        <f t="shared" ref="D36:D60" si="1">(B36/C36)</f>
        <v>8.0790088365445512E-5</v>
      </c>
      <c r="F36" s="7" t="s">
        <v>39</v>
      </c>
      <c r="I36" s="1" t="s">
        <v>10</v>
      </c>
      <c r="J36" s="7" t="s">
        <v>45</v>
      </c>
    </row>
    <row r="37" spans="1:10" x14ac:dyDescent="0.25">
      <c r="A37" s="10">
        <v>1992</v>
      </c>
      <c r="B37" s="93">
        <f>'Import 09'!B3</f>
        <v>3.9960550000000001</v>
      </c>
      <c r="C37" s="5">
        <v>49279.585355094838</v>
      </c>
      <c r="D37" s="123">
        <f t="shared" si="1"/>
        <v>8.1089460700725286E-5</v>
      </c>
    </row>
    <row r="38" spans="1:10" x14ac:dyDescent="0.25">
      <c r="A38" s="10">
        <v>1993</v>
      </c>
      <c r="B38" s="93">
        <f>'Import 09'!B4</f>
        <v>8.5819220000000005</v>
      </c>
      <c r="C38" s="5">
        <v>55802.540100979531</v>
      </c>
      <c r="D38" s="123">
        <f t="shared" si="1"/>
        <v>1.5379088450938379E-4</v>
      </c>
    </row>
    <row r="39" spans="1:10" x14ac:dyDescent="0.25">
      <c r="A39" s="10">
        <v>1994</v>
      </c>
      <c r="B39" s="93">
        <f>'Import 09'!B5</f>
        <v>9.8553080000000008</v>
      </c>
      <c r="C39" s="5">
        <v>81703.496603993364</v>
      </c>
      <c r="D39" s="123">
        <f t="shared" si="1"/>
        <v>1.2062284246863322E-4</v>
      </c>
    </row>
    <row r="40" spans="1:10" x14ac:dyDescent="0.25">
      <c r="A40" s="10">
        <v>1995</v>
      </c>
      <c r="B40" s="93">
        <f>'Import 09'!B6</f>
        <v>13.397544</v>
      </c>
      <c r="C40" s="5">
        <v>92507.277798198498</v>
      </c>
      <c r="D40" s="123">
        <f t="shared" si="1"/>
        <v>1.4482691869094116E-4</v>
      </c>
    </row>
    <row r="41" spans="1:10" x14ac:dyDescent="0.25">
      <c r="A41" s="10">
        <v>1996</v>
      </c>
      <c r="B41" s="93">
        <f>'Import 09'!B7</f>
        <v>14.597754999999999</v>
      </c>
      <c r="C41" s="5">
        <v>97160.111573336981</v>
      </c>
      <c r="D41" s="123">
        <f t="shared" si="1"/>
        <v>1.5024432108624674E-4</v>
      </c>
    </row>
    <row r="42" spans="1:10" x14ac:dyDescent="0.25">
      <c r="A42" s="10">
        <v>1997</v>
      </c>
      <c r="B42" s="93">
        <f>'Import 09'!B8</f>
        <v>17.202976</v>
      </c>
      <c r="C42" s="5">
        <v>106659.5079635281</v>
      </c>
      <c r="D42" s="123">
        <f t="shared" si="1"/>
        <v>1.6128872454467449E-4</v>
      </c>
    </row>
    <row r="43" spans="1:10" x14ac:dyDescent="0.25">
      <c r="A43" s="10">
        <v>1998</v>
      </c>
      <c r="B43" s="93">
        <f>'Import 09'!B9</f>
        <v>18.203968</v>
      </c>
      <c r="C43" s="5">
        <v>98443.743190849113</v>
      </c>
      <c r="D43" s="123">
        <f t="shared" si="1"/>
        <v>1.8491747072953802E-4</v>
      </c>
    </row>
    <row r="44" spans="1:10" x14ac:dyDescent="0.25">
      <c r="A44" s="10">
        <v>1999</v>
      </c>
      <c r="B44" s="93">
        <f>'Import 09'!B10</f>
        <v>21.820636</v>
      </c>
      <c r="C44" s="5">
        <v>86186.156584381664</v>
      </c>
      <c r="D44" s="123">
        <f t="shared" si="1"/>
        <v>2.5318028863064834E-4</v>
      </c>
    </row>
    <row r="45" spans="1:10" x14ac:dyDescent="0.25">
      <c r="A45" s="10">
        <v>2000</v>
      </c>
      <c r="B45" s="93">
        <f>'Import 09'!B11</f>
        <v>13.706878</v>
      </c>
      <c r="C45" s="5">
        <v>99886.577575544405</v>
      </c>
      <c r="D45" s="123">
        <f t="shared" si="1"/>
        <v>1.3722442326781557E-4</v>
      </c>
    </row>
    <row r="46" spans="1:10" x14ac:dyDescent="0.25">
      <c r="A46" s="10">
        <v>2001</v>
      </c>
      <c r="B46" s="93">
        <f>'Import 09'!B12</f>
        <v>14.49283</v>
      </c>
      <c r="C46" s="5">
        <v>98203.544965267793</v>
      </c>
      <c r="D46" s="123">
        <f t="shared" si="1"/>
        <v>1.4757949934623808E-4</v>
      </c>
    </row>
    <row r="47" spans="1:10" x14ac:dyDescent="0.25">
      <c r="A47" s="10">
        <v>2002</v>
      </c>
      <c r="B47" s="93">
        <f>'Import 09'!B13</f>
        <v>17.436653</v>
      </c>
      <c r="C47" s="5">
        <v>97933.392356425262</v>
      </c>
      <c r="D47" s="123">
        <f t="shared" si="1"/>
        <v>1.7804604313654214E-4</v>
      </c>
    </row>
    <row r="48" spans="1:10" x14ac:dyDescent="0.25">
      <c r="A48" s="10">
        <v>2003</v>
      </c>
      <c r="B48" s="93">
        <f>'Import 09'!B14</f>
        <v>16.116531999999999</v>
      </c>
      <c r="C48" s="5">
        <v>94684.582573316715</v>
      </c>
      <c r="D48" s="123">
        <f t="shared" si="1"/>
        <v>1.7021284312597094E-4</v>
      </c>
    </row>
    <row r="49" spans="1:10" x14ac:dyDescent="0.25">
      <c r="A49" s="10">
        <v>2004</v>
      </c>
      <c r="B49" s="93">
        <f>'Import 09'!B15</f>
        <v>19.024771000000001</v>
      </c>
      <c r="C49" s="5">
        <v>117074.86551527939</v>
      </c>
      <c r="D49" s="123">
        <f t="shared" si="1"/>
        <v>1.6250089988373368E-4</v>
      </c>
    </row>
    <row r="50" spans="1:10" x14ac:dyDescent="0.25">
      <c r="A50" s="10">
        <v>2005</v>
      </c>
      <c r="B50" s="93">
        <f>'Import 09'!B16</f>
        <v>20.507144</v>
      </c>
      <c r="C50" s="5">
        <v>146566.26631057015</v>
      </c>
      <c r="D50" s="123">
        <f t="shared" si="1"/>
        <v>1.3991721639784347E-4</v>
      </c>
    </row>
    <row r="51" spans="1:10" x14ac:dyDescent="0.25">
      <c r="A51" s="10">
        <v>2006</v>
      </c>
      <c r="B51" s="93">
        <f>'Import 09'!B17</f>
        <v>32.155056999999999</v>
      </c>
      <c r="C51" s="5">
        <v>162590.1460964143</v>
      </c>
      <c r="D51" s="123">
        <f t="shared" si="1"/>
        <v>1.977675632380106E-4</v>
      </c>
    </row>
    <row r="52" spans="1:10" x14ac:dyDescent="0.25">
      <c r="A52" s="10">
        <v>2007</v>
      </c>
      <c r="B52" s="93">
        <f>'Import 09'!B18</f>
        <v>37.265571999999999</v>
      </c>
      <c r="C52" s="5">
        <v>207416.49464237894</v>
      </c>
      <c r="D52" s="123">
        <f t="shared" si="1"/>
        <v>1.7966542180867601E-4</v>
      </c>
    </row>
    <row r="53" spans="1:10" x14ac:dyDescent="0.25">
      <c r="A53" s="10">
        <v>2008</v>
      </c>
      <c r="B53" s="93">
        <f>'Import 09'!B19</f>
        <v>42.939801000000003</v>
      </c>
      <c r="C53" s="5">
        <v>243982.43787084011</v>
      </c>
      <c r="D53" s="123">
        <f t="shared" si="1"/>
        <v>1.759954584220179E-4</v>
      </c>
    </row>
    <row r="54" spans="1:10" x14ac:dyDescent="0.25">
      <c r="A54" s="10">
        <v>2009</v>
      </c>
      <c r="B54" s="93">
        <f>'Import 09'!B20</f>
        <v>48.350667999999999</v>
      </c>
      <c r="C54" s="5">
        <v>233821.6705442575</v>
      </c>
      <c r="D54" s="123">
        <f t="shared" si="1"/>
        <v>2.0678437497882916E-4</v>
      </c>
    </row>
    <row r="55" spans="1:10" x14ac:dyDescent="0.25">
      <c r="A55" s="10">
        <v>2010</v>
      </c>
      <c r="B55" s="93">
        <f>'Import 09'!B21</f>
        <v>49.965361000000001</v>
      </c>
      <c r="C55" s="5">
        <v>287018.18463752925</v>
      </c>
      <c r="D55" s="123">
        <f t="shared" si="1"/>
        <v>1.7408430432064946E-4</v>
      </c>
    </row>
    <row r="56" spans="1:10" x14ac:dyDescent="0.25">
      <c r="A56" s="10">
        <v>2011</v>
      </c>
      <c r="B56" s="93">
        <f>'Import 09'!B22</f>
        <v>74.036721999999997</v>
      </c>
      <c r="C56" s="5">
        <v>335415.15670218616</v>
      </c>
      <c r="D56" s="123">
        <f t="shared" si="1"/>
        <v>2.207315934316496E-4</v>
      </c>
    </row>
    <row r="57" spans="1:10" x14ac:dyDescent="0.25">
      <c r="A57" s="10">
        <v>2012</v>
      </c>
      <c r="B57" s="93">
        <f>'Import 09'!B23</f>
        <v>108.397113</v>
      </c>
      <c r="C57" s="5">
        <v>369659.70037551981</v>
      </c>
      <c r="D57" s="123">
        <f t="shared" si="1"/>
        <v>2.9323486679744775E-4</v>
      </c>
    </row>
    <row r="58" spans="1:10" x14ac:dyDescent="0.25">
      <c r="A58" s="10">
        <v>2013</v>
      </c>
      <c r="B58" s="93">
        <f>'Import 09'!B24</f>
        <v>101.897245</v>
      </c>
      <c r="C58" s="5">
        <v>380191.88186037214</v>
      </c>
      <c r="D58" s="123">
        <f t="shared" si="1"/>
        <v>2.6801530979933546E-4</v>
      </c>
    </row>
    <row r="59" spans="1:10" x14ac:dyDescent="0.25">
      <c r="A59" s="10">
        <v>2014</v>
      </c>
      <c r="B59" s="93">
        <f>'Import 09'!B25</f>
        <v>120.79994499999999</v>
      </c>
      <c r="C59" s="5">
        <v>378416.02053371473</v>
      </c>
      <c r="D59" s="123">
        <f t="shared" si="1"/>
        <v>3.1922524006680473E-4</v>
      </c>
    </row>
    <row r="60" spans="1:10" x14ac:dyDescent="0.25">
      <c r="A60" s="11">
        <v>2015</v>
      </c>
      <c r="B60" s="93">
        <f>'Import 09'!B26</f>
        <v>116.24860099999999</v>
      </c>
      <c r="C60" s="6">
        <v>292080.15563330991</v>
      </c>
      <c r="D60" s="123">
        <f t="shared" si="1"/>
        <v>3.9800239337705478E-4</v>
      </c>
    </row>
    <row r="61" spans="1:10" x14ac:dyDescent="0.25">
      <c r="A61" t="s">
        <v>95</v>
      </c>
      <c r="B61" s="15"/>
      <c r="C61" s="16"/>
      <c r="D61" s="17"/>
    </row>
    <row r="62" spans="1:10" x14ac:dyDescent="0.25">
      <c r="F62" s="7" t="s">
        <v>11</v>
      </c>
      <c r="I62" s="1" t="s">
        <v>10</v>
      </c>
      <c r="J62" s="7" t="s">
        <v>42</v>
      </c>
    </row>
    <row r="63" spans="1:10" x14ac:dyDescent="0.25">
      <c r="A63" s="7"/>
      <c r="C63" s="119"/>
      <c r="D63" s="7"/>
    </row>
    <row r="64" spans="1:10" x14ac:dyDescent="0.25">
      <c r="A64" s="131" t="s">
        <v>48</v>
      </c>
      <c r="B64" s="132"/>
      <c r="C64" s="132"/>
      <c r="D64" s="133"/>
    </row>
    <row r="65" spans="1:5" ht="45" x14ac:dyDescent="0.25">
      <c r="A65" s="12" t="s">
        <v>3</v>
      </c>
      <c r="B65" s="13" t="s">
        <v>8</v>
      </c>
      <c r="C65" s="13" t="s">
        <v>7</v>
      </c>
      <c r="D65" s="14" t="s">
        <v>6</v>
      </c>
      <c r="E65" s="18"/>
    </row>
    <row r="66" spans="1:5" x14ac:dyDescent="0.25">
      <c r="A66" s="10">
        <v>1991</v>
      </c>
      <c r="B66" s="93">
        <f>'Import 09'!B2</f>
        <v>3.331747</v>
      </c>
      <c r="C66" s="5">
        <v>6174.0429999999997</v>
      </c>
      <c r="D66" s="75">
        <f t="shared" ref="D66:D90" si="2">(B66/C66)/10000</f>
        <v>5.3963780297610501E-8</v>
      </c>
      <c r="E66" s="1"/>
    </row>
    <row r="67" spans="1:5" x14ac:dyDescent="0.25">
      <c r="A67" s="10">
        <v>1992</v>
      </c>
      <c r="B67" s="93">
        <f>'Import 09'!B3</f>
        <v>3.9960550000000001</v>
      </c>
      <c r="C67" s="5">
        <v>6539.299</v>
      </c>
      <c r="D67" s="75">
        <f t="shared" si="2"/>
        <v>6.1108308398193748E-8</v>
      </c>
      <c r="E67" s="1"/>
    </row>
    <row r="68" spans="1:5" x14ac:dyDescent="0.25">
      <c r="A68" s="10">
        <v>1993</v>
      </c>
      <c r="B68" s="93">
        <f>'Import 09'!B4</f>
        <v>8.5819220000000005</v>
      </c>
      <c r="C68" s="5">
        <v>6878.7179999999998</v>
      </c>
      <c r="D68" s="75">
        <f t="shared" si="2"/>
        <v>1.247604858928655E-7</v>
      </c>
      <c r="E68" s="1"/>
    </row>
    <row r="69" spans="1:5" x14ac:dyDescent="0.25">
      <c r="A69" s="10">
        <v>1994</v>
      </c>
      <c r="B69" s="93">
        <f>'Import 09'!B5</f>
        <v>9.8553080000000008</v>
      </c>
      <c r="C69" s="5">
        <v>7308.7550000000001</v>
      </c>
      <c r="D69" s="75">
        <f t="shared" si="2"/>
        <v>1.3484250053531691E-7</v>
      </c>
      <c r="E69" s="1"/>
    </row>
    <row r="70" spans="1:5" x14ac:dyDescent="0.25">
      <c r="A70" s="10">
        <v>1995</v>
      </c>
      <c r="B70" s="93">
        <f>'Import 09'!B6</f>
        <v>13.397544</v>
      </c>
      <c r="C70" s="5">
        <v>7664.06</v>
      </c>
      <c r="D70" s="75">
        <f t="shared" si="2"/>
        <v>1.7481000931621097E-7</v>
      </c>
      <c r="E70" s="1"/>
    </row>
    <row r="71" spans="1:5" x14ac:dyDescent="0.25">
      <c r="A71" s="10">
        <v>1996</v>
      </c>
      <c r="B71" s="93">
        <f>'Import 09'!B7</f>
        <v>14.597754999999999</v>
      </c>
      <c r="C71" s="5">
        <v>8100.201</v>
      </c>
      <c r="D71" s="75">
        <f t="shared" si="2"/>
        <v>1.802147255358231E-7</v>
      </c>
      <c r="E71" s="1"/>
    </row>
    <row r="72" spans="1:5" x14ac:dyDescent="0.25">
      <c r="A72" s="10">
        <v>1997</v>
      </c>
      <c r="B72" s="93">
        <f>'Import 09'!B8</f>
        <v>17.202976</v>
      </c>
      <c r="C72" s="5">
        <v>8608.5149999999994</v>
      </c>
      <c r="D72" s="75">
        <f t="shared" si="2"/>
        <v>1.998367430387239E-7</v>
      </c>
      <c r="E72" s="1"/>
    </row>
    <row r="73" spans="1:5" x14ac:dyDescent="0.25">
      <c r="A73" s="10">
        <v>1998</v>
      </c>
      <c r="B73" s="93">
        <f>'Import 09'!B9</f>
        <v>18.203968</v>
      </c>
      <c r="C73" s="5">
        <v>9089.1679999999997</v>
      </c>
      <c r="D73" s="75">
        <f t="shared" si="2"/>
        <v>2.00282006009791E-7</v>
      </c>
      <c r="E73" s="1"/>
    </row>
    <row r="74" spans="1:5" x14ac:dyDescent="0.25">
      <c r="A74" s="10">
        <v>1999</v>
      </c>
      <c r="B74" s="93">
        <f>'Import 09'!B10</f>
        <v>21.820636</v>
      </c>
      <c r="C74" s="5">
        <v>9660.6239999999998</v>
      </c>
      <c r="D74" s="75">
        <f t="shared" si="2"/>
        <v>2.2587191055153374E-7</v>
      </c>
      <c r="E74" s="1"/>
    </row>
    <row r="75" spans="1:5" x14ac:dyDescent="0.25">
      <c r="A75" s="10">
        <v>2000</v>
      </c>
      <c r="B75" s="93">
        <f>'Import 09'!B11</f>
        <v>13.706878</v>
      </c>
      <c r="C75" s="5">
        <v>10284.779</v>
      </c>
      <c r="D75" s="75">
        <f t="shared" si="2"/>
        <v>1.3327343251614835E-7</v>
      </c>
      <c r="E75" s="1"/>
    </row>
    <row r="76" spans="1:5" x14ac:dyDescent="0.25">
      <c r="A76" s="10">
        <v>2001</v>
      </c>
      <c r="B76" s="93">
        <f>'Import 09'!B12</f>
        <v>14.49283</v>
      </c>
      <c r="C76" s="5">
        <v>10621.824000000001</v>
      </c>
      <c r="D76" s="75">
        <f t="shared" si="2"/>
        <v>1.3644389136931661E-7</v>
      </c>
      <c r="E76" s="1"/>
    </row>
    <row r="77" spans="1:5" x14ac:dyDescent="0.25">
      <c r="A77" s="10">
        <v>2002</v>
      </c>
      <c r="B77" s="93">
        <f>'Import 09'!B13</f>
        <v>17.436653</v>
      </c>
      <c r="C77" s="5">
        <v>10977.513999999999</v>
      </c>
      <c r="D77" s="75">
        <f t="shared" si="2"/>
        <v>1.5883972454965669E-7</v>
      </c>
      <c r="E77" s="1"/>
    </row>
    <row r="78" spans="1:5" x14ac:dyDescent="0.25">
      <c r="A78" s="10">
        <v>2003</v>
      </c>
      <c r="B78" s="93">
        <f>'Import 09'!B14</f>
        <v>16.116531999999999</v>
      </c>
      <c r="C78" s="5">
        <v>11510.67</v>
      </c>
      <c r="D78" s="75">
        <f t="shared" si="2"/>
        <v>1.4001384802101007E-7</v>
      </c>
      <c r="E78" s="1"/>
    </row>
    <row r="79" spans="1:5" x14ac:dyDescent="0.25">
      <c r="A79" s="10">
        <v>2004</v>
      </c>
      <c r="B79" s="93">
        <f>'Import 09'!B15</f>
        <v>19.024771000000001</v>
      </c>
      <c r="C79" s="5">
        <v>12274.928</v>
      </c>
      <c r="D79" s="75">
        <f t="shared" si="2"/>
        <v>1.5498886021979113E-7</v>
      </c>
      <c r="E79" s="1"/>
    </row>
    <row r="80" spans="1:5" x14ac:dyDescent="0.25">
      <c r="A80" s="10">
        <v>2005</v>
      </c>
      <c r="B80" s="93">
        <f>'Import 09'!B16</f>
        <v>20.507144</v>
      </c>
      <c r="C80" s="5">
        <v>13093.726000000001</v>
      </c>
      <c r="D80" s="75">
        <f t="shared" si="2"/>
        <v>1.5661809327612324E-7</v>
      </c>
      <c r="E80" s="1"/>
    </row>
    <row r="81" spans="1:10" x14ac:dyDescent="0.25">
      <c r="A81" s="10">
        <v>2006</v>
      </c>
      <c r="B81" s="93">
        <f>'Import 09'!B17</f>
        <v>32.155056999999999</v>
      </c>
      <c r="C81" s="5">
        <v>13855.888000000001</v>
      </c>
      <c r="D81" s="75">
        <f t="shared" si="2"/>
        <v>2.3206781838883221E-7</v>
      </c>
      <c r="E81" s="1"/>
    </row>
    <row r="82" spans="1:10" x14ac:dyDescent="0.25">
      <c r="A82" s="10">
        <v>2007</v>
      </c>
      <c r="B82" s="93">
        <f>'Import 09'!B18</f>
        <v>37.265571999999999</v>
      </c>
      <c r="C82" s="5">
        <v>14477.635</v>
      </c>
      <c r="D82" s="75">
        <f t="shared" si="2"/>
        <v>2.5740096362423836E-7</v>
      </c>
      <c r="E82" s="1"/>
    </row>
    <row r="83" spans="1:10" x14ac:dyDescent="0.25">
      <c r="A83" s="10">
        <v>2008</v>
      </c>
      <c r="B83" s="93">
        <f>'Import 09'!B19</f>
        <v>42.939801000000003</v>
      </c>
      <c r="C83" s="5">
        <v>14718.582</v>
      </c>
      <c r="D83" s="75">
        <f t="shared" si="2"/>
        <v>2.917387082532815E-7</v>
      </c>
      <c r="E83" s="1"/>
    </row>
    <row r="84" spans="1:10" x14ac:dyDescent="0.25">
      <c r="A84" s="10">
        <v>2009</v>
      </c>
      <c r="B84" s="93">
        <f>'Import 09'!B20</f>
        <v>48.350667999999999</v>
      </c>
      <c r="C84" s="5">
        <v>14418.739</v>
      </c>
      <c r="D84" s="75">
        <f t="shared" si="2"/>
        <v>3.353321535260469E-7</v>
      </c>
      <c r="E84" s="1"/>
    </row>
    <row r="85" spans="1:10" x14ac:dyDescent="0.25">
      <c r="A85" s="10">
        <v>2010</v>
      </c>
      <c r="B85" s="93">
        <f>'Import 09'!B21</f>
        <v>49.965361000000001</v>
      </c>
      <c r="C85" s="5">
        <v>14964.371999999999</v>
      </c>
      <c r="D85" s="75">
        <f t="shared" si="2"/>
        <v>3.338954751993602E-7</v>
      </c>
      <c r="E85" s="1"/>
    </row>
    <row r="86" spans="1:10" x14ac:dyDescent="0.25">
      <c r="A86" s="10">
        <v>2011</v>
      </c>
      <c r="B86" s="93">
        <f>'Import 09'!B22</f>
        <v>74.036721999999997</v>
      </c>
      <c r="C86" s="5">
        <v>15517.925999999999</v>
      </c>
      <c r="D86" s="75">
        <f t="shared" si="2"/>
        <v>4.7710449192759398E-7</v>
      </c>
      <c r="E86" s="1"/>
    </row>
    <row r="87" spans="1:10" x14ac:dyDescent="0.25">
      <c r="A87" s="10">
        <v>2012</v>
      </c>
      <c r="B87" s="93">
        <f>'Import 09'!B23</f>
        <v>108.397113</v>
      </c>
      <c r="C87" s="5">
        <v>16155.254999999999</v>
      </c>
      <c r="D87" s="75">
        <f t="shared" si="2"/>
        <v>6.709712288663968E-7</v>
      </c>
      <c r="E87" s="1"/>
    </row>
    <row r="88" spans="1:10" x14ac:dyDescent="0.25">
      <c r="A88" s="10">
        <v>2013</v>
      </c>
      <c r="B88" s="93">
        <f>'Import 09'!B24</f>
        <v>101.897245</v>
      </c>
      <c r="C88" s="5">
        <v>16663.16</v>
      </c>
      <c r="D88" s="75">
        <f t="shared" si="2"/>
        <v>6.115121321526049E-7</v>
      </c>
      <c r="E88" s="1"/>
    </row>
    <row r="89" spans="1:10" x14ac:dyDescent="0.25">
      <c r="A89" s="10">
        <v>2014</v>
      </c>
      <c r="B89" s="93">
        <f>'Import 09'!B25</f>
        <v>120.79994499999999</v>
      </c>
      <c r="C89" s="5">
        <v>17348.071499999998</v>
      </c>
      <c r="D89" s="75">
        <f t="shared" si="2"/>
        <v>6.9633068436454163E-7</v>
      </c>
      <c r="E89" s="1"/>
    </row>
    <row r="90" spans="1:10" x14ac:dyDescent="0.25">
      <c r="A90" s="11">
        <v>2015</v>
      </c>
      <c r="B90" s="93">
        <f>'Import 09'!B26</f>
        <v>116.24860099999999</v>
      </c>
      <c r="C90" s="5">
        <v>17946.995999999999</v>
      </c>
      <c r="D90" s="75">
        <f t="shared" si="2"/>
        <v>6.4773291864554937E-7</v>
      </c>
      <c r="E90" s="1"/>
    </row>
    <row r="91" spans="1:10" x14ac:dyDescent="0.25">
      <c r="A91" t="s">
        <v>94</v>
      </c>
      <c r="B91" s="15"/>
      <c r="C91" s="16"/>
      <c r="D91" s="17"/>
    </row>
    <row r="92" spans="1:10" x14ac:dyDescent="0.25">
      <c r="B92" s="15"/>
      <c r="C92" s="16"/>
      <c r="D92" s="17"/>
    </row>
    <row r="94" spans="1:10" x14ac:dyDescent="0.25">
      <c r="A94" s="131" t="s">
        <v>49</v>
      </c>
      <c r="B94" s="132"/>
      <c r="C94" s="132"/>
      <c r="D94" s="133"/>
    </row>
    <row r="95" spans="1:10" ht="60" x14ac:dyDescent="0.25">
      <c r="A95" s="12" t="s">
        <v>3</v>
      </c>
      <c r="B95" s="13" t="s">
        <v>156</v>
      </c>
      <c r="C95" s="13" t="s">
        <v>7</v>
      </c>
      <c r="D95" s="14" t="s">
        <v>43</v>
      </c>
    </row>
    <row r="96" spans="1:10" x14ac:dyDescent="0.25">
      <c r="A96" s="10">
        <v>1991</v>
      </c>
      <c r="B96" s="2">
        <f t="shared" ref="B96:B120" si="3">B7</f>
        <v>1.0422279999999999</v>
      </c>
      <c r="C96" s="5">
        <v>6174.0429999999997</v>
      </c>
      <c r="D96" s="19">
        <f t="shared" ref="D96:D120" si="4">(B96/C96)/10000</f>
        <v>1.6880802417475875E-8</v>
      </c>
      <c r="F96" s="7" t="s">
        <v>39</v>
      </c>
      <c r="I96" s="1" t="s">
        <v>10</v>
      </c>
      <c r="J96" s="7" t="s">
        <v>44</v>
      </c>
    </row>
    <row r="97" spans="1:4" x14ac:dyDescent="0.25">
      <c r="A97" s="10">
        <v>1992</v>
      </c>
      <c r="B97" s="2">
        <f t="shared" si="3"/>
        <v>1.5849740000000001</v>
      </c>
      <c r="C97" s="5">
        <v>6539.299</v>
      </c>
      <c r="D97" s="19">
        <f t="shared" si="4"/>
        <v>2.4237674405161776E-8</v>
      </c>
    </row>
    <row r="98" spans="1:4" x14ac:dyDescent="0.25">
      <c r="A98" s="10">
        <v>1993</v>
      </c>
      <c r="B98" s="2">
        <f t="shared" si="3"/>
        <v>1.24962</v>
      </c>
      <c r="C98" s="5">
        <v>6878.7179999999998</v>
      </c>
      <c r="D98" s="19">
        <f t="shared" si="4"/>
        <v>1.8166466484016353E-8</v>
      </c>
    </row>
    <row r="99" spans="1:4" x14ac:dyDescent="0.25">
      <c r="A99" s="10">
        <v>1994</v>
      </c>
      <c r="B99" s="2">
        <f t="shared" si="3"/>
        <v>2.041169</v>
      </c>
      <c r="C99" s="5">
        <v>7308.7550000000001</v>
      </c>
      <c r="D99" s="19">
        <f t="shared" si="4"/>
        <v>2.7927725036617041E-8</v>
      </c>
    </row>
    <row r="100" spans="1:4" x14ac:dyDescent="0.25">
      <c r="A100" s="10">
        <v>1995</v>
      </c>
      <c r="B100" s="2">
        <f t="shared" si="3"/>
        <v>1.4371849999999999</v>
      </c>
      <c r="C100" s="5">
        <v>7664.06</v>
      </c>
      <c r="D100" s="19">
        <f t="shared" si="4"/>
        <v>1.8752267075153376E-8</v>
      </c>
    </row>
    <row r="101" spans="1:4" x14ac:dyDescent="0.25">
      <c r="A101" s="10">
        <v>1996</v>
      </c>
      <c r="B101" s="2">
        <f t="shared" si="3"/>
        <v>1.515906</v>
      </c>
      <c r="C101" s="5">
        <v>8100.201</v>
      </c>
      <c r="D101" s="19">
        <f t="shared" si="4"/>
        <v>1.8714424493910706E-8</v>
      </c>
    </row>
    <row r="102" spans="1:4" x14ac:dyDescent="0.25">
      <c r="A102" s="10">
        <v>1997</v>
      </c>
      <c r="B102" s="2">
        <f t="shared" si="3"/>
        <v>1.349143</v>
      </c>
      <c r="C102" s="5">
        <v>8608.5149999999994</v>
      </c>
      <c r="D102" s="19">
        <f t="shared" si="4"/>
        <v>1.5672192009887887E-8</v>
      </c>
    </row>
    <row r="103" spans="1:4" x14ac:dyDescent="0.25">
      <c r="A103" s="10">
        <v>1998</v>
      </c>
      <c r="B103" s="2">
        <f t="shared" si="3"/>
        <v>1.042678</v>
      </c>
      <c r="C103" s="5">
        <v>9089.1679999999997</v>
      </c>
      <c r="D103" s="19">
        <f t="shared" si="4"/>
        <v>1.1471655051375439E-8</v>
      </c>
    </row>
    <row r="104" spans="1:4" x14ac:dyDescent="0.25">
      <c r="A104" s="10">
        <v>1999</v>
      </c>
      <c r="B104" s="2">
        <f t="shared" si="3"/>
        <v>1.478</v>
      </c>
      <c r="C104" s="5">
        <v>9660.6239999999998</v>
      </c>
      <c r="D104" s="19">
        <f t="shared" si="4"/>
        <v>1.529921876682086E-8</v>
      </c>
    </row>
    <row r="105" spans="1:4" x14ac:dyDescent="0.25">
      <c r="A105" s="10">
        <v>2000</v>
      </c>
      <c r="B105" s="2">
        <f t="shared" si="3"/>
        <v>1.979636</v>
      </c>
      <c r="C105" s="5">
        <v>10284.779</v>
      </c>
      <c r="D105" s="19">
        <f t="shared" si="4"/>
        <v>1.9248211361663679E-8</v>
      </c>
    </row>
    <row r="106" spans="1:4" x14ac:dyDescent="0.25">
      <c r="A106" s="10">
        <v>2001</v>
      </c>
      <c r="B106" s="2">
        <f t="shared" si="3"/>
        <v>4.2792539999999999</v>
      </c>
      <c r="C106" s="5">
        <v>10621.824000000001</v>
      </c>
      <c r="D106" s="19">
        <f t="shared" si="4"/>
        <v>4.0287374371859291E-8</v>
      </c>
    </row>
    <row r="107" spans="1:4" x14ac:dyDescent="0.25">
      <c r="A107" s="10">
        <v>2002</v>
      </c>
      <c r="B107" s="2">
        <f t="shared" si="3"/>
        <v>3.681295</v>
      </c>
      <c r="C107" s="5">
        <v>10977.513999999999</v>
      </c>
      <c r="D107" s="19">
        <f t="shared" si="4"/>
        <v>3.3534869552432364E-8</v>
      </c>
    </row>
    <row r="108" spans="1:4" x14ac:dyDescent="0.25">
      <c r="A108" s="10">
        <v>2003</v>
      </c>
      <c r="B108" s="2">
        <f t="shared" si="3"/>
        <v>5.1394549999999999</v>
      </c>
      <c r="C108" s="5">
        <v>11510.67</v>
      </c>
      <c r="D108" s="19">
        <f t="shared" si="4"/>
        <v>4.4649486085518916E-8</v>
      </c>
    </row>
    <row r="109" spans="1:4" x14ac:dyDescent="0.25">
      <c r="A109" s="10">
        <v>2004</v>
      </c>
      <c r="B109" s="2">
        <f t="shared" si="3"/>
        <v>8.7669619999999995</v>
      </c>
      <c r="C109" s="5">
        <v>12274.928</v>
      </c>
      <c r="D109" s="19">
        <f t="shared" si="4"/>
        <v>7.1421697952118332E-8</v>
      </c>
    </row>
    <row r="110" spans="1:4" x14ac:dyDescent="0.25">
      <c r="A110" s="10">
        <v>2005</v>
      </c>
      <c r="B110" s="2">
        <f t="shared" si="3"/>
        <v>19.191551</v>
      </c>
      <c r="C110" s="5">
        <v>13093.726000000001</v>
      </c>
      <c r="D110" s="19">
        <f t="shared" si="4"/>
        <v>1.4657058655420159E-7</v>
      </c>
    </row>
    <row r="111" spans="1:4" x14ac:dyDescent="0.25">
      <c r="A111" s="10">
        <v>2006</v>
      </c>
      <c r="B111" s="2">
        <f t="shared" si="3"/>
        <v>15.957020999999999</v>
      </c>
      <c r="C111" s="5">
        <v>13855.888000000001</v>
      </c>
      <c r="D111" s="19">
        <f t="shared" si="4"/>
        <v>1.1516418868281844E-7</v>
      </c>
    </row>
    <row r="112" spans="1:4" x14ac:dyDescent="0.25">
      <c r="A112" s="10">
        <v>2007</v>
      </c>
      <c r="B112" s="2">
        <f t="shared" si="3"/>
        <v>17.968544000000001</v>
      </c>
      <c r="C112" s="5">
        <v>14477.635</v>
      </c>
      <c r="D112" s="19">
        <f t="shared" si="4"/>
        <v>1.2411242582093001E-7</v>
      </c>
    </row>
    <row r="113" spans="1:10" x14ac:dyDescent="0.25">
      <c r="A113" s="10">
        <v>2008</v>
      </c>
      <c r="B113" s="2">
        <f t="shared" si="3"/>
        <v>19.799885</v>
      </c>
      <c r="C113" s="5">
        <v>14718.582</v>
      </c>
      <c r="D113" s="19">
        <f t="shared" si="4"/>
        <v>1.3452304712505592E-7</v>
      </c>
    </row>
    <row r="114" spans="1:10" x14ac:dyDescent="0.25">
      <c r="A114" s="10">
        <v>2009</v>
      </c>
      <c r="B114" s="2">
        <f t="shared" si="3"/>
        <v>18.206178000000001</v>
      </c>
      <c r="C114" s="5">
        <v>14418.739</v>
      </c>
      <c r="D114" s="19">
        <f t="shared" si="4"/>
        <v>1.2626747734319902E-7</v>
      </c>
    </row>
    <row r="115" spans="1:10" x14ac:dyDescent="0.25">
      <c r="A115" s="10">
        <v>2010</v>
      </c>
      <c r="B115" s="2">
        <f t="shared" si="3"/>
        <v>23.231349999999999</v>
      </c>
      <c r="C115" s="5">
        <v>14964.371999999999</v>
      </c>
      <c r="D115" s="19">
        <f t="shared" si="4"/>
        <v>1.5524440317308336E-7</v>
      </c>
    </row>
    <row r="116" spans="1:10" x14ac:dyDescent="0.25">
      <c r="A116" s="10">
        <v>2011</v>
      </c>
      <c r="B116" s="2">
        <f t="shared" si="3"/>
        <v>22.369783999999999</v>
      </c>
      <c r="C116" s="5">
        <v>15517.925999999999</v>
      </c>
      <c r="D116" s="19">
        <f t="shared" si="4"/>
        <v>1.4415447012700022E-7</v>
      </c>
    </row>
    <row r="117" spans="1:10" x14ac:dyDescent="0.25">
      <c r="A117" s="10">
        <v>2012</v>
      </c>
      <c r="B117" s="2">
        <f t="shared" si="3"/>
        <v>27.756962999999999</v>
      </c>
      <c r="C117" s="5">
        <v>16155.254999999999</v>
      </c>
      <c r="D117" s="19">
        <f t="shared" si="4"/>
        <v>1.7181383395062474E-7</v>
      </c>
    </row>
    <row r="118" spans="1:10" x14ac:dyDescent="0.25">
      <c r="A118" s="10">
        <v>2013</v>
      </c>
      <c r="B118" s="2">
        <f t="shared" si="3"/>
        <v>21.177413000000001</v>
      </c>
      <c r="C118" s="5">
        <v>16663.16</v>
      </c>
      <c r="D118" s="19">
        <f t="shared" si="4"/>
        <v>1.2709121799226559E-7</v>
      </c>
    </row>
    <row r="119" spans="1:10" x14ac:dyDescent="0.25">
      <c r="A119" s="10">
        <v>2014</v>
      </c>
      <c r="B119" s="2">
        <f t="shared" si="3"/>
        <v>17.432943000000002</v>
      </c>
      <c r="C119" s="5">
        <v>17348.071499999998</v>
      </c>
      <c r="D119" s="19">
        <f t="shared" si="4"/>
        <v>1.0048922728961548E-7</v>
      </c>
    </row>
    <row r="120" spans="1:10" x14ac:dyDescent="0.25">
      <c r="A120" s="11">
        <v>2015</v>
      </c>
      <c r="B120" s="2">
        <f t="shared" si="3"/>
        <v>16.877009000000001</v>
      </c>
      <c r="C120" s="5">
        <v>17946.995999999999</v>
      </c>
      <c r="D120" s="19">
        <f t="shared" si="4"/>
        <v>9.4038071886793776E-8</v>
      </c>
    </row>
    <row r="121" spans="1:10" x14ac:dyDescent="0.25">
      <c r="A121" t="s">
        <v>95</v>
      </c>
      <c r="B121" s="15"/>
      <c r="C121" s="16"/>
      <c r="D121" s="17"/>
    </row>
    <row r="123" spans="1:10" ht="15.75" x14ac:dyDescent="0.25">
      <c r="A123" s="129" t="s">
        <v>50</v>
      </c>
      <c r="B123" s="129"/>
      <c r="C123" s="129"/>
      <c r="D123" s="129"/>
    </row>
    <row r="124" spans="1:10" ht="60" x14ac:dyDescent="0.25">
      <c r="A124" s="12" t="s">
        <v>3</v>
      </c>
      <c r="B124" s="13" t="s">
        <v>147</v>
      </c>
      <c r="C124" s="13" t="s">
        <v>9</v>
      </c>
      <c r="D124" s="14" t="s">
        <v>54</v>
      </c>
    </row>
    <row r="125" spans="1:10" x14ac:dyDescent="0.25">
      <c r="A125" s="10">
        <v>1991</v>
      </c>
      <c r="B125" s="3">
        <f t="shared" ref="B125:B149" si="5">B7+B36</f>
        <v>4.3739749999999997</v>
      </c>
      <c r="C125" s="5">
        <v>41239.551378248201</v>
      </c>
      <c r="D125" s="19">
        <f t="shared" ref="D125:D149" si="6">(B125/C125)/100</f>
        <v>1.0606262322986987E-6</v>
      </c>
      <c r="F125" s="7" t="s">
        <v>51</v>
      </c>
      <c r="I125" s="1" t="s">
        <v>10</v>
      </c>
      <c r="J125" s="7" t="s">
        <v>52</v>
      </c>
    </row>
    <row r="126" spans="1:10" x14ac:dyDescent="0.25">
      <c r="A126" s="10">
        <v>1992</v>
      </c>
      <c r="B126" s="3">
        <f t="shared" si="5"/>
        <v>5.581029</v>
      </c>
      <c r="C126" s="5">
        <v>49279.585355094838</v>
      </c>
      <c r="D126" s="19">
        <f t="shared" si="6"/>
        <v>1.1325235307449676E-6</v>
      </c>
      <c r="I126" s="42"/>
    </row>
    <row r="127" spans="1:10" x14ac:dyDescent="0.25">
      <c r="A127" s="10">
        <v>1993</v>
      </c>
      <c r="B127" s="3">
        <f t="shared" si="5"/>
        <v>9.8315420000000007</v>
      </c>
      <c r="C127" s="5">
        <v>55802.540100979531</v>
      </c>
      <c r="D127" s="19">
        <f t="shared" si="6"/>
        <v>1.7618448877432772E-6</v>
      </c>
    </row>
    <row r="128" spans="1:10" x14ac:dyDescent="0.25">
      <c r="A128" s="10">
        <v>1994</v>
      </c>
      <c r="B128" s="3">
        <f t="shared" si="5"/>
        <v>11.896477000000001</v>
      </c>
      <c r="C128" s="5">
        <v>81703.496603993364</v>
      </c>
      <c r="D128" s="19">
        <f t="shared" si="6"/>
        <v>1.4560548194969839E-6</v>
      </c>
    </row>
    <row r="129" spans="1:4" x14ac:dyDescent="0.25">
      <c r="A129" s="10">
        <v>1995</v>
      </c>
      <c r="B129" s="3">
        <f t="shared" si="5"/>
        <v>14.834728999999999</v>
      </c>
      <c r="C129" s="5">
        <v>92507.277798198498</v>
      </c>
      <c r="D129" s="19">
        <f t="shared" si="6"/>
        <v>1.6036283147755639E-6</v>
      </c>
    </row>
    <row r="130" spans="1:4" x14ac:dyDescent="0.25">
      <c r="A130" s="10">
        <v>1996</v>
      </c>
      <c r="B130" s="3">
        <f t="shared" si="5"/>
        <v>16.113661</v>
      </c>
      <c r="C130" s="5">
        <v>97160.111573336981</v>
      </c>
      <c r="D130" s="19">
        <f t="shared" si="6"/>
        <v>1.6584646455286664E-6</v>
      </c>
    </row>
    <row r="131" spans="1:4" x14ac:dyDescent="0.25">
      <c r="A131" s="10">
        <v>1997</v>
      </c>
      <c r="B131" s="3">
        <f t="shared" si="5"/>
        <v>18.552119000000001</v>
      </c>
      <c r="C131" s="5">
        <v>106659.5079635281</v>
      </c>
      <c r="D131" s="19">
        <f t="shared" si="6"/>
        <v>1.7393778908434346E-6</v>
      </c>
    </row>
    <row r="132" spans="1:4" x14ac:dyDescent="0.25">
      <c r="A132" s="10">
        <v>1998</v>
      </c>
      <c r="B132" s="3">
        <f t="shared" si="5"/>
        <v>19.246645999999998</v>
      </c>
      <c r="C132" s="5">
        <v>98443.743190849113</v>
      </c>
      <c r="D132" s="19">
        <f t="shared" si="6"/>
        <v>1.9550908342328334E-6</v>
      </c>
    </row>
    <row r="133" spans="1:4" x14ac:dyDescent="0.25">
      <c r="A133" s="10">
        <v>1999</v>
      </c>
      <c r="B133" s="3">
        <f t="shared" si="5"/>
        <v>23.298636000000002</v>
      </c>
      <c r="C133" s="5">
        <v>86186.156584381664</v>
      </c>
      <c r="D133" s="19">
        <f t="shared" si="6"/>
        <v>2.7032921438130462E-6</v>
      </c>
    </row>
    <row r="134" spans="1:4" x14ac:dyDescent="0.25">
      <c r="A134" s="10">
        <v>2000</v>
      </c>
      <c r="B134" s="3">
        <f t="shared" si="5"/>
        <v>15.686513999999999</v>
      </c>
      <c r="C134" s="5">
        <v>99886.577575544405</v>
      </c>
      <c r="D134" s="19">
        <f t="shared" si="6"/>
        <v>1.5704326227551705E-6</v>
      </c>
    </row>
    <row r="135" spans="1:4" x14ac:dyDescent="0.25">
      <c r="A135" s="10">
        <v>2001</v>
      </c>
      <c r="B135" s="3">
        <f t="shared" si="5"/>
        <v>18.772084</v>
      </c>
      <c r="C135" s="5">
        <v>98203.544965267793</v>
      </c>
      <c r="D135" s="19">
        <f t="shared" si="6"/>
        <v>1.9115485094391683E-6</v>
      </c>
    </row>
    <row r="136" spans="1:4" x14ac:dyDescent="0.25">
      <c r="A136" s="10">
        <v>2002</v>
      </c>
      <c r="B136" s="3">
        <f t="shared" si="5"/>
        <v>21.117947999999998</v>
      </c>
      <c r="C136" s="5">
        <v>97933.392356425305</v>
      </c>
      <c r="D136" s="19">
        <f t="shared" si="6"/>
        <v>2.1563582647215908E-6</v>
      </c>
    </row>
    <row r="137" spans="1:4" x14ac:dyDescent="0.25">
      <c r="A137" s="10">
        <v>2003</v>
      </c>
      <c r="B137" s="3">
        <f t="shared" si="5"/>
        <v>21.255986999999998</v>
      </c>
      <c r="C137" s="5">
        <v>94684.582573316715</v>
      </c>
      <c r="D137" s="19">
        <f t="shared" si="6"/>
        <v>2.2449258815225741E-6</v>
      </c>
    </row>
    <row r="138" spans="1:4" x14ac:dyDescent="0.25">
      <c r="A138" s="10">
        <v>2004</v>
      </c>
      <c r="B138" s="3">
        <f t="shared" si="5"/>
        <v>27.791733000000001</v>
      </c>
      <c r="C138" s="5">
        <v>117074.86551527939</v>
      </c>
      <c r="D138" s="19">
        <f t="shared" si="6"/>
        <v>2.3738428293452035E-6</v>
      </c>
    </row>
    <row r="139" spans="1:4" x14ac:dyDescent="0.25">
      <c r="A139" s="10">
        <v>2005</v>
      </c>
      <c r="B139" s="3">
        <f t="shared" si="5"/>
        <v>39.698695000000001</v>
      </c>
      <c r="C139" s="5">
        <v>146566.26631057015</v>
      </c>
      <c r="D139" s="19">
        <f t="shared" si="6"/>
        <v>2.708583359548744E-6</v>
      </c>
    </row>
    <row r="140" spans="1:4" x14ac:dyDescent="0.25">
      <c r="A140" s="10">
        <v>2006</v>
      </c>
      <c r="B140" s="3">
        <f t="shared" si="5"/>
        <v>48.112077999999997</v>
      </c>
      <c r="C140" s="5">
        <v>162590.1460964143</v>
      </c>
      <c r="D140" s="19">
        <f t="shared" si="6"/>
        <v>2.9591017140405316E-6</v>
      </c>
    </row>
    <row r="141" spans="1:4" x14ac:dyDescent="0.25">
      <c r="A141" s="10">
        <v>2007</v>
      </c>
      <c r="B141" s="3">
        <f t="shared" si="5"/>
        <v>55.234116</v>
      </c>
      <c r="C141" s="5">
        <v>207416.49464237894</v>
      </c>
      <c r="D141" s="19">
        <f t="shared" si="6"/>
        <v>2.6629567766648904E-6</v>
      </c>
    </row>
    <row r="142" spans="1:4" x14ac:dyDescent="0.25">
      <c r="A142" s="10">
        <v>2008</v>
      </c>
      <c r="B142" s="3">
        <f t="shared" si="5"/>
        <v>62.739686000000006</v>
      </c>
      <c r="C142" s="5">
        <v>243982.43787084011</v>
      </c>
      <c r="D142" s="19">
        <f t="shared" si="6"/>
        <v>2.5714836915111595E-6</v>
      </c>
    </row>
    <row r="143" spans="1:4" x14ac:dyDescent="0.25">
      <c r="A143" s="10">
        <v>2009</v>
      </c>
      <c r="B143" s="3">
        <f t="shared" si="5"/>
        <v>66.556846000000007</v>
      </c>
      <c r="C143" s="5">
        <v>233821.6705442575</v>
      </c>
      <c r="D143" s="19">
        <f t="shared" si="6"/>
        <v>2.8464789360660305E-6</v>
      </c>
    </row>
    <row r="144" spans="1:4" x14ac:dyDescent="0.25">
      <c r="A144" s="10">
        <v>2010</v>
      </c>
      <c r="B144" s="3">
        <f t="shared" si="5"/>
        <v>73.196710999999993</v>
      </c>
      <c r="C144" s="5">
        <v>287018.18463752925</v>
      </c>
      <c r="D144" s="19">
        <f t="shared" si="6"/>
        <v>2.5502464623431076E-6</v>
      </c>
    </row>
    <row r="145" spans="1:10" x14ac:dyDescent="0.25">
      <c r="A145" s="10">
        <v>2011</v>
      </c>
      <c r="B145" s="3">
        <f t="shared" si="5"/>
        <v>96.406505999999993</v>
      </c>
      <c r="C145" s="5">
        <v>335415.15670218616</v>
      </c>
      <c r="D145" s="19">
        <f t="shared" si="6"/>
        <v>2.8742441739327531E-6</v>
      </c>
    </row>
    <row r="146" spans="1:10" x14ac:dyDescent="0.25">
      <c r="A146" s="10">
        <v>2012</v>
      </c>
      <c r="B146" s="3">
        <f t="shared" si="5"/>
        <v>136.154076</v>
      </c>
      <c r="C146" s="5">
        <v>369659.70037551981</v>
      </c>
      <c r="D146" s="19">
        <f t="shared" si="6"/>
        <v>3.683227461951831E-6</v>
      </c>
    </row>
    <row r="147" spans="1:10" x14ac:dyDescent="0.25">
      <c r="A147" s="10">
        <v>2013</v>
      </c>
      <c r="B147" s="3">
        <f t="shared" si="5"/>
        <v>123.074658</v>
      </c>
      <c r="C147" s="5">
        <v>380191.88186037214</v>
      </c>
      <c r="D147" s="19">
        <f t="shared" si="6"/>
        <v>3.2371721720560024E-6</v>
      </c>
    </row>
    <row r="148" spans="1:10" x14ac:dyDescent="0.25">
      <c r="A148" s="10">
        <v>2014</v>
      </c>
      <c r="B148" s="3">
        <f t="shared" si="5"/>
        <v>138.232888</v>
      </c>
      <c r="C148" s="5">
        <v>378416.02053371473</v>
      </c>
      <c r="D148" s="19">
        <f t="shared" si="6"/>
        <v>3.6529343500055181E-6</v>
      </c>
    </row>
    <row r="149" spans="1:10" x14ac:dyDescent="0.25">
      <c r="A149" s="11">
        <v>2015</v>
      </c>
      <c r="B149" s="3">
        <f t="shared" si="5"/>
        <v>133.12560999999999</v>
      </c>
      <c r="C149" s="6">
        <v>292080.15563330991</v>
      </c>
      <c r="D149" s="19">
        <f t="shared" si="6"/>
        <v>4.5578450789081219E-6</v>
      </c>
    </row>
    <row r="150" spans="1:10" x14ac:dyDescent="0.25">
      <c r="A150" t="s">
        <v>95</v>
      </c>
    </row>
    <row r="152" spans="1:10" ht="15.75" x14ac:dyDescent="0.25">
      <c r="A152" s="129" t="s">
        <v>58</v>
      </c>
      <c r="B152" s="129"/>
      <c r="C152" s="129"/>
      <c r="D152" s="129"/>
    </row>
    <row r="153" spans="1:10" ht="45" x14ac:dyDescent="0.25">
      <c r="A153" s="12" t="s">
        <v>3</v>
      </c>
      <c r="B153" s="13" t="s">
        <v>148</v>
      </c>
      <c r="C153" s="13" t="s">
        <v>7</v>
      </c>
      <c r="D153" s="14" t="s">
        <v>55</v>
      </c>
    </row>
    <row r="154" spans="1:10" x14ac:dyDescent="0.25">
      <c r="A154" s="10">
        <v>1991</v>
      </c>
      <c r="B154" s="80">
        <f t="shared" ref="B154:B178" si="7">B125</f>
        <v>4.3739749999999997</v>
      </c>
      <c r="C154" s="5">
        <v>6174.0429999999997</v>
      </c>
      <c r="D154" s="75">
        <f t="shared" ref="D154:D178" si="8">(B154/C154)/10000</f>
        <v>7.0844582715086366E-8</v>
      </c>
      <c r="F154" s="7" t="s">
        <v>51</v>
      </c>
      <c r="I154" s="1" t="s">
        <v>10</v>
      </c>
      <c r="J154" s="7" t="s">
        <v>57</v>
      </c>
    </row>
    <row r="155" spans="1:10" x14ac:dyDescent="0.25">
      <c r="A155" s="10">
        <v>1992</v>
      </c>
      <c r="B155" s="80">
        <f t="shared" si="7"/>
        <v>5.581029</v>
      </c>
      <c r="C155" s="5">
        <v>6539.299</v>
      </c>
      <c r="D155" s="75">
        <f t="shared" si="8"/>
        <v>8.5345982803355524E-8</v>
      </c>
    </row>
    <row r="156" spans="1:10" x14ac:dyDescent="0.25">
      <c r="A156" s="10">
        <v>1993</v>
      </c>
      <c r="B156" s="80">
        <f t="shared" si="7"/>
        <v>9.8315420000000007</v>
      </c>
      <c r="C156" s="5">
        <v>6878.7179999999998</v>
      </c>
      <c r="D156" s="75">
        <f t="shared" si="8"/>
        <v>1.4292695237688186E-7</v>
      </c>
    </row>
    <row r="157" spans="1:10" x14ac:dyDescent="0.25">
      <c r="A157" s="10">
        <v>1994</v>
      </c>
      <c r="B157" s="80">
        <f t="shared" si="7"/>
        <v>11.896477000000001</v>
      </c>
      <c r="C157" s="5">
        <v>7308.7550000000001</v>
      </c>
      <c r="D157" s="75">
        <f t="shared" si="8"/>
        <v>1.6277022557193392E-7</v>
      </c>
    </row>
    <row r="158" spans="1:10" x14ac:dyDescent="0.25">
      <c r="A158" s="10">
        <v>1995</v>
      </c>
      <c r="B158" s="80">
        <f t="shared" si="7"/>
        <v>14.834728999999999</v>
      </c>
      <c r="C158" s="5">
        <v>7664.06</v>
      </c>
      <c r="D158" s="75">
        <f t="shared" si="8"/>
        <v>1.9356227639136434E-7</v>
      </c>
    </row>
    <row r="159" spans="1:10" x14ac:dyDescent="0.25">
      <c r="A159" s="10">
        <v>1996</v>
      </c>
      <c r="B159" s="80">
        <f t="shared" si="7"/>
        <v>16.113661</v>
      </c>
      <c r="C159" s="5">
        <v>8100.201</v>
      </c>
      <c r="D159" s="75">
        <f t="shared" si="8"/>
        <v>1.9892915002973386E-7</v>
      </c>
    </row>
    <row r="160" spans="1:10" x14ac:dyDescent="0.25">
      <c r="A160" s="10">
        <v>1997</v>
      </c>
      <c r="B160" s="80">
        <f t="shared" si="7"/>
        <v>18.552119000000001</v>
      </c>
      <c r="C160" s="5">
        <v>8608.5149999999994</v>
      </c>
      <c r="D160" s="75">
        <f t="shared" si="8"/>
        <v>2.1550893504861178E-7</v>
      </c>
    </row>
    <row r="161" spans="1:4" x14ac:dyDescent="0.25">
      <c r="A161" s="10">
        <v>1998</v>
      </c>
      <c r="B161" s="80">
        <f t="shared" si="7"/>
        <v>19.246645999999998</v>
      </c>
      <c r="C161" s="5">
        <v>9089.1679999999997</v>
      </c>
      <c r="D161" s="75">
        <f t="shared" si="8"/>
        <v>2.1175366106116641E-7</v>
      </c>
    </row>
    <row r="162" spans="1:4" x14ac:dyDescent="0.25">
      <c r="A162" s="10">
        <v>1999</v>
      </c>
      <c r="B162" s="80">
        <f t="shared" si="7"/>
        <v>23.298636000000002</v>
      </c>
      <c r="C162" s="5">
        <v>9660.6239999999998</v>
      </c>
      <c r="D162" s="75">
        <f t="shared" si="8"/>
        <v>2.4117112931835458E-7</v>
      </c>
    </row>
    <row r="163" spans="1:4" x14ac:dyDescent="0.25">
      <c r="A163" s="10">
        <v>2000</v>
      </c>
      <c r="B163" s="80">
        <f t="shared" si="7"/>
        <v>15.686513999999999</v>
      </c>
      <c r="C163" s="5">
        <v>10284.779</v>
      </c>
      <c r="D163" s="75">
        <f t="shared" si="8"/>
        <v>1.5252164387781203E-7</v>
      </c>
    </row>
    <row r="164" spans="1:4" x14ac:dyDescent="0.25">
      <c r="A164" s="10">
        <v>2001</v>
      </c>
      <c r="B164" s="80">
        <f t="shared" si="7"/>
        <v>18.772084</v>
      </c>
      <c r="C164" s="5">
        <v>10621.824000000001</v>
      </c>
      <c r="D164" s="75">
        <f t="shared" si="8"/>
        <v>1.7673126574117591E-7</v>
      </c>
    </row>
    <row r="165" spans="1:4" x14ac:dyDescent="0.25">
      <c r="A165" s="10">
        <v>2002</v>
      </c>
      <c r="B165" s="80">
        <f t="shared" si="7"/>
        <v>21.117947999999998</v>
      </c>
      <c r="C165" s="5">
        <v>10977.513999999999</v>
      </c>
      <c r="D165" s="75">
        <f t="shared" si="8"/>
        <v>1.9237459410208905E-7</v>
      </c>
    </row>
    <row r="166" spans="1:4" x14ac:dyDescent="0.25">
      <c r="A166" s="10">
        <v>2003</v>
      </c>
      <c r="B166" s="80">
        <f t="shared" si="7"/>
        <v>21.255986999999998</v>
      </c>
      <c r="C166" s="5">
        <v>11510.67</v>
      </c>
      <c r="D166" s="75">
        <f t="shared" si="8"/>
        <v>1.8466333410652896E-7</v>
      </c>
    </row>
    <row r="167" spans="1:4" x14ac:dyDescent="0.25">
      <c r="A167" s="10">
        <v>2004</v>
      </c>
      <c r="B167" s="80">
        <f t="shared" si="7"/>
        <v>27.791733000000001</v>
      </c>
      <c r="C167" s="5">
        <v>12274.928</v>
      </c>
      <c r="D167" s="75">
        <f t="shared" si="8"/>
        <v>2.2641055817190945E-7</v>
      </c>
    </row>
    <row r="168" spans="1:4" x14ac:dyDescent="0.25">
      <c r="A168" s="10">
        <v>2005</v>
      </c>
      <c r="B168" s="80">
        <f t="shared" si="7"/>
        <v>39.698695000000001</v>
      </c>
      <c r="C168" s="5">
        <v>13093.726000000001</v>
      </c>
      <c r="D168" s="75">
        <f t="shared" si="8"/>
        <v>3.0318867983032483E-7</v>
      </c>
    </row>
    <row r="169" spans="1:4" x14ac:dyDescent="0.25">
      <c r="A169" s="10">
        <v>2006</v>
      </c>
      <c r="B169" s="80">
        <f t="shared" si="7"/>
        <v>48.112077999999997</v>
      </c>
      <c r="C169" s="5">
        <v>13855.888000000001</v>
      </c>
      <c r="D169" s="75">
        <f t="shared" si="8"/>
        <v>3.4723200707165067E-7</v>
      </c>
    </row>
    <row r="170" spans="1:4" x14ac:dyDescent="0.25">
      <c r="A170" s="10">
        <v>2007</v>
      </c>
      <c r="B170" s="80">
        <f t="shared" si="7"/>
        <v>55.234116</v>
      </c>
      <c r="C170" s="5">
        <v>14477.635</v>
      </c>
      <c r="D170" s="75">
        <f t="shared" si="8"/>
        <v>3.8151338944516832E-7</v>
      </c>
    </row>
    <row r="171" spans="1:4" x14ac:dyDescent="0.25">
      <c r="A171" s="10">
        <v>2008</v>
      </c>
      <c r="B171" s="80">
        <f t="shared" si="7"/>
        <v>62.739686000000006</v>
      </c>
      <c r="C171" s="5">
        <v>14718.582</v>
      </c>
      <c r="D171" s="75">
        <f t="shared" si="8"/>
        <v>4.262617553783374E-7</v>
      </c>
    </row>
    <row r="172" spans="1:4" x14ac:dyDescent="0.25">
      <c r="A172" s="10">
        <v>2009</v>
      </c>
      <c r="B172" s="80">
        <f t="shared" si="7"/>
        <v>66.556846000000007</v>
      </c>
      <c r="C172" s="5">
        <v>14418.739</v>
      </c>
      <c r="D172" s="75">
        <f t="shared" si="8"/>
        <v>4.6159963086924595E-7</v>
      </c>
    </row>
    <row r="173" spans="1:4" x14ac:dyDescent="0.25">
      <c r="A173" s="10">
        <v>2010</v>
      </c>
      <c r="B173" s="80">
        <f t="shared" si="7"/>
        <v>73.196710999999993</v>
      </c>
      <c r="C173" s="5">
        <v>14964.371999999999</v>
      </c>
      <c r="D173" s="75">
        <f t="shared" si="8"/>
        <v>4.8913987837244349E-7</v>
      </c>
    </row>
    <row r="174" spans="1:4" x14ac:dyDescent="0.25">
      <c r="A174" s="10">
        <v>2011</v>
      </c>
      <c r="B174" s="80">
        <f t="shared" si="7"/>
        <v>96.406505999999993</v>
      </c>
      <c r="C174" s="5">
        <v>15517.925999999999</v>
      </c>
      <c r="D174" s="75">
        <f t="shared" si="8"/>
        <v>6.2125896205459412E-7</v>
      </c>
    </row>
    <row r="175" spans="1:4" x14ac:dyDescent="0.25">
      <c r="A175" s="10">
        <v>2012</v>
      </c>
      <c r="B175" s="80">
        <f t="shared" si="7"/>
        <v>136.154076</v>
      </c>
      <c r="C175" s="5">
        <v>16155.254999999999</v>
      </c>
      <c r="D175" s="75">
        <f t="shared" si="8"/>
        <v>8.4278506281702143E-7</v>
      </c>
    </row>
    <row r="176" spans="1:4" x14ac:dyDescent="0.25">
      <c r="A176" s="10">
        <v>2013</v>
      </c>
      <c r="B176" s="80">
        <f t="shared" si="7"/>
        <v>123.074658</v>
      </c>
      <c r="C176" s="5">
        <v>16663.16</v>
      </c>
      <c r="D176" s="75">
        <f t="shared" si="8"/>
        <v>7.3860335014487047E-7</v>
      </c>
    </row>
    <row r="177" spans="1:10" x14ac:dyDescent="0.25">
      <c r="A177" s="10">
        <v>2014</v>
      </c>
      <c r="B177" s="80">
        <f t="shared" si="7"/>
        <v>138.232888</v>
      </c>
      <c r="C177" s="5">
        <v>17348.071499999998</v>
      </c>
      <c r="D177" s="75">
        <f t="shared" si="8"/>
        <v>7.9681991165415725E-7</v>
      </c>
    </row>
    <row r="178" spans="1:10" x14ac:dyDescent="0.25">
      <c r="A178" s="11">
        <v>2015</v>
      </c>
      <c r="B178" s="80">
        <f t="shared" si="7"/>
        <v>133.12560999999999</v>
      </c>
      <c r="C178" s="5">
        <v>17946.995999999999</v>
      </c>
      <c r="D178" s="75">
        <f t="shared" si="8"/>
        <v>7.417709905323431E-7</v>
      </c>
    </row>
    <row r="179" spans="1:10" x14ac:dyDescent="0.25">
      <c r="A179" t="s">
        <v>95</v>
      </c>
    </row>
    <row r="182" spans="1:10" ht="15.75" x14ac:dyDescent="0.25">
      <c r="A182" s="130" t="s">
        <v>61</v>
      </c>
      <c r="B182" s="130"/>
      <c r="C182" s="130"/>
      <c r="D182" s="130"/>
      <c r="E182" s="130"/>
    </row>
    <row r="183" spans="1:10" ht="75" x14ac:dyDescent="0.25">
      <c r="A183" s="12" t="s">
        <v>3</v>
      </c>
      <c r="B183" s="13" t="s">
        <v>149</v>
      </c>
      <c r="C183" s="13" t="s">
        <v>150</v>
      </c>
      <c r="D183" s="13" t="s">
        <v>9</v>
      </c>
      <c r="E183" s="14" t="s">
        <v>54</v>
      </c>
    </row>
    <row r="184" spans="1:10" x14ac:dyDescent="0.25">
      <c r="A184" s="10">
        <v>1991</v>
      </c>
      <c r="B184" s="80">
        <f t="shared" ref="B184:B208" si="9">B154</f>
        <v>4.3739749999999997</v>
      </c>
      <c r="C184" s="80">
        <f>Tabla116192640152[[#This Row],[Balanza Comercial Absoluta Colombia 
(US$ millones)]]/2</f>
        <v>2.1869874999999999</v>
      </c>
      <c r="D184" s="5">
        <v>41239.551378248201</v>
      </c>
      <c r="E184" s="19">
        <f t="shared" ref="E184:E208" si="10">C184/(D184*100)</f>
        <v>5.3031311614934934E-7</v>
      </c>
      <c r="F184" s="7" t="s">
        <v>51</v>
      </c>
      <c r="I184" s="1" t="s">
        <v>10</v>
      </c>
      <c r="J184" s="7" t="s">
        <v>52</v>
      </c>
    </row>
    <row r="185" spans="1:10" x14ac:dyDescent="0.25">
      <c r="A185" s="10">
        <v>1992</v>
      </c>
      <c r="B185" s="80">
        <f t="shared" si="9"/>
        <v>5.581029</v>
      </c>
      <c r="C185" s="80">
        <f>Tabla116192640152[[#This Row],[Balanza Comercial Absoluta Colombia 
(US$ millones)]]/2</f>
        <v>2.7905145</v>
      </c>
      <c r="D185" s="5">
        <v>49279.585355094838</v>
      </c>
      <c r="E185" s="19">
        <f t="shared" si="10"/>
        <v>5.6626176537248378E-7</v>
      </c>
    </row>
    <row r="186" spans="1:10" x14ac:dyDescent="0.25">
      <c r="A186" s="10">
        <v>1993</v>
      </c>
      <c r="B186" s="80">
        <f t="shared" si="9"/>
        <v>9.8315420000000007</v>
      </c>
      <c r="C186" s="80">
        <f>Tabla116192640152[[#This Row],[Balanza Comercial Absoluta Colombia 
(US$ millones)]]/2</f>
        <v>4.9157710000000003</v>
      </c>
      <c r="D186" s="5">
        <v>55802.540100979531</v>
      </c>
      <c r="E186" s="19">
        <f t="shared" si="10"/>
        <v>8.8092244387163851E-7</v>
      </c>
    </row>
    <row r="187" spans="1:10" x14ac:dyDescent="0.25">
      <c r="A187" s="10">
        <v>1994</v>
      </c>
      <c r="B187" s="80">
        <f t="shared" si="9"/>
        <v>11.896477000000001</v>
      </c>
      <c r="C187" s="80">
        <f>Tabla116192640152[[#This Row],[Balanza Comercial Absoluta Colombia 
(US$ millones)]]/2</f>
        <v>5.9482385000000004</v>
      </c>
      <c r="D187" s="5">
        <v>81703.496603993364</v>
      </c>
      <c r="E187" s="19">
        <f t="shared" si="10"/>
        <v>7.2802740974849206E-7</v>
      </c>
    </row>
    <row r="188" spans="1:10" x14ac:dyDescent="0.25">
      <c r="A188" s="10">
        <v>1995</v>
      </c>
      <c r="B188" s="80">
        <f t="shared" si="9"/>
        <v>14.834728999999999</v>
      </c>
      <c r="C188" s="80">
        <f>Tabla116192640152[[#This Row],[Balanza Comercial Absoluta Colombia 
(US$ millones)]]/2</f>
        <v>7.4173644999999997</v>
      </c>
      <c r="D188" s="5">
        <v>92507.277798198498</v>
      </c>
      <c r="E188" s="19">
        <f t="shared" si="10"/>
        <v>8.0181415738778195E-7</v>
      </c>
    </row>
    <row r="189" spans="1:10" x14ac:dyDescent="0.25">
      <c r="A189" s="10">
        <v>1996</v>
      </c>
      <c r="B189" s="80">
        <f t="shared" si="9"/>
        <v>16.113661</v>
      </c>
      <c r="C189" s="80">
        <f>Tabla116192640152[[#This Row],[Balanza Comercial Absoluta Colombia 
(US$ millones)]]/2</f>
        <v>8.0568305000000002</v>
      </c>
      <c r="D189" s="5">
        <v>97160.111573336981</v>
      </c>
      <c r="E189" s="19">
        <f t="shared" si="10"/>
        <v>8.2923232276433328E-7</v>
      </c>
    </row>
    <row r="190" spans="1:10" x14ac:dyDescent="0.25">
      <c r="A190" s="10">
        <v>1997</v>
      </c>
      <c r="B190" s="80">
        <f t="shared" si="9"/>
        <v>18.552119000000001</v>
      </c>
      <c r="C190" s="80">
        <f>Tabla116192640152[[#This Row],[Balanza Comercial Absoluta Colombia 
(US$ millones)]]/2</f>
        <v>9.2760595000000006</v>
      </c>
      <c r="D190" s="5">
        <v>106659.5079635281</v>
      </c>
      <c r="E190" s="19">
        <f t="shared" si="10"/>
        <v>8.6968894542171731E-7</v>
      </c>
    </row>
    <row r="191" spans="1:10" x14ac:dyDescent="0.25">
      <c r="A191" s="10">
        <v>1998</v>
      </c>
      <c r="B191" s="80">
        <f t="shared" si="9"/>
        <v>19.246645999999998</v>
      </c>
      <c r="C191" s="80">
        <f>Tabla116192640152[[#This Row],[Balanza Comercial Absoluta Colombia 
(US$ millones)]]/2</f>
        <v>9.6233229999999992</v>
      </c>
      <c r="D191" s="5">
        <v>98443.743190849113</v>
      </c>
      <c r="E191" s="19">
        <f t="shared" si="10"/>
        <v>9.775454171164167E-7</v>
      </c>
    </row>
    <row r="192" spans="1:10" x14ac:dyDescent="0.25">
      <c r="A192" s="10">
        <v>1999</v>
      </c>
      <c r="B192" s="80">
        <f t="shared" si="9"/>
        <v>23.298636000000002</v>
      </c>
      <c r="C192" s="80">
        <f>Tabla116192640152[[#This Row],[Balanza Comercial Absoluta Colombia 
(US$ millones)]]/2</f>
        <v>11.649318000000001</v>
      </c>
      <c r="D192" s="5">
        <v>86186.156584381664</v>
      </c>
      <c r="E192" s="19">
        <f t="shared" si="10"/>
        <v>1.3516460719065233E-6</v>
      </c>
    </row>
    <row r="193" spans="1:5" x14ac:dyDescent="0.25">
      <c r="A193" s="10">
        <v>2000</v>
      </c>
      <c r="B193" s="80">
        <f t="shared" si="9"/>
        <v>15.686513999999999</v>
      </c>
      <c r="C193" s="80">
        <f>Tabla116192640152[[#This Row],[Balanza Comercial Absoluta Colombia 
(US$ millones)]]/2</f>
        <v>7.8432569999999995</v>
      </c>
      <c r="D193" s="5">
        <v>99886.577575544405</v>
      </c>
      <c r="E193" s="19">
        <f t="shared" si="10"/>
        <v>7.8521631137758526E-7</v>
      </c>
    </row>
    <row r="194" spans="1:5" x14ac:dyDescent="0.25">
      <c r="A194" s="10">
        <v>2001</v>
      </c>
      <c r="B194" s="80">
        <f t="shared" si="9"/>
        <v>18.772084</v>
      </c>
      <c r="C194" s="80">
        <f>Tabla116192640152[[#This Row],[Balanza Comercial Absoluta Colombia 
(US$ millones)]]/2</f>
        <v>9.3860419999999998</v>
      </c>
      <c r="D194" s="5">
        <v>98203.544965267793</v>
      </c>
      <c r="E194" s="19">
        <f t="shared" si="10"/>
        <v>9.5577425471958415E-7</v>
      </c>
    </row>
    <row r="195" spans="1:5" x14ac:dyDescent="0.25">
      <c r="A195" s="10">
        <v>2002</v>
      </c>
      <c r="B195" s="80">
        <f t="shared" si="9"/>
        <v>21.117947999999998</v>
      </c>
      <c r="C195" s="80">
        <f>Tabla116192640152[[#This Row],[Balanza Comercial Absoluta Colombia 
(US$ millones)]]/2</f>
        <v>10.558973999999999</v>
      </c>
      <c r="D195" s="5">
        <v>97933.392356425305</v>
      </c>
      <c r="E195" s="19">
        <f t="shared" si="10"/>
        <v>1.0781791323607956E-6</v>
      </c>
    </row>
    <row r="196" spans="1:5" x14ac:dyDescent="0.25">
      <c r="A196" s="10">
        <v>2003</v>
      </c>
      <c r="B196" s="80">
        <f t="shared" si="9"/>
        <v>21.255986999999998</v>
      </c>
      <c r="C196" s="80">
        <f>Tabla116192640152[[#This Row],[Balanza Comercial Absoluta Colombia 
(US$ millones)]]/2</f>
        <v>10.627993499999999</v>
      </c>
      <c r="D196" s="5">
        <v>94684.582573316715</v>
      </c>
      <c r="E196" s="19">
        <f t="shared" si="10"/>
        <v>1.122462940761287E-6</v>
      </c>
    </row>
    <row r="197" spans="1:5" x14ac:dyDescent="0.25">
      <c r="A197" s="10">
        <v>2004</v>
      </c>
      <c r="B197" s="80">
        <f t="shared" si="9"/>
        <v>27.791733000000001</v>
      </c>
      <c r="C197" s="80">
        <f>Tabla116192640152[[#This Row],[Balanza Comercial Absoluta Colombia 
(US$ millones)]]/2</f>
        <v>13.8958665</v>
      </c>
      <c r="D197" s="5">
        <v>117074.86551527939</v>
      </c>
      <c r="E197" s="19">
        <f t="shared" si="10"/>
        <v>1.1869214146726015E-6</v>
      </c>
    </row>
    <row r="198" spans="1:5" x14ac:dyDescent="0.25">
      <c r="A198" s="10">
        <v>2005</v>
      </c>
      <c r="B198" s="80">
        <f t="shared" si="9"/>
        <v>39.698695000000001</v>
      </c>
      <c r="C198" s="80">
        <f>Tabla116192640152[[#This Row],[Balanza Comercial Absoluta Colombia 
(US$ millones)]]/2</f>
        <v>19.8493475</v>
      </c>
      <c r="D198" s="5">
        <v>146566.26631057015</v>
      </c>
      <c r="E198" s="19">
        <f t="shared" si="10"/>
        <v>1.354291679774372E-6</v>
      </c>
    </row>
    <row r="199" spans="1:5" x14ac:dyDescent="0.25">
      <c r="A199" s="10">
        <v>2006</v>
      </c>
      <c r="B199" s="80">
        <f t="shared" si="9"/>
        <v>48.112077999999997</v>
      </c>
      <c r="C199" s="80">
        <f>Tabla116192640152[[#This Row],[Balanza Comercial Absoluta Colombia 
(US$ millones)]]/2</f>
        <v>24.056038999999998</v>
      </c>
      <c r="D199" s="5">
        <v>162590.1460964143</v>
      </c>
      <c r="E199" s="19">
        <f t="shared" si="10"/>
        <v>1.4795508570202656E-6</v>
      </c>
    </row>
    <row r="200" spans="1:5" x14ac:dyDescent="0.25">
      <c r="A200" s="10">
        <v>2007</v>
      </c>
      <c r="B200" s="80">
        <f t="shared" si="9"/>
        <v>55.234116</v>
      </c>
      <c r="C200" s="80">
        <f>Tabla116192640152[[#This Row],[Balanza Comercial Absoluta Colombia 
(US$ millones)]]/2</f>
        <v>27.617058</v>
      </c>
      <c r="D200" s="5">
        <v>207416.49464237894</v>
      </c>
      <c r="E200" s="19">
        <f t="shared" si="10"/>
        <v>1.3314783883324452E-6</v>
      </c>
    </row>
    <row r="201" spans="1:5" x14ac:dyDescent="0.25">
      <c r="A201" s="10">
        <v>2008</v>
      </c>
      <c r="B201" s="80">
        <f t="shared" si="9"/>
        <v>62.739686000000006</v>
      </c>
      <c r="C201" s="80">
        <f>Tabla116192640152[[#This Row],[Balanza Comercial Absoluta Colombia 
(US$ millones)]]/2</f>
        <v>31.369843000000003</v>
      </c>
      <c r="D201" s="5">
        <v>243982.43787084011</v>
      </c>
      <c r="E201" s="19">
        <f t="shared" si="10"/>
        <v>1.28574184575558E-6</v>
      </c>
    </row>
    <row r="202" spans="1:5" x14ac:dyDescent="0.25">
      <c r="A202" s="10">
        <v>2009</v>
      </c>
      <c r="B202" s="80">
        <f t="shared" si="9"/>
        <v>66.556846000000007</v>
      </c>
      <c r="C202" s="80">
        <f>Tabla116192640152[[#This Row],[Balanza Comercial Absoluta Colombia 
(US$ millones)]]/2</f>
        <v>33.278423000000004</v>
      </c>
      <c r="D202" s="5">
        <v>233821.6705442575</v>
      </c>
      <c r="E202" s="19">
        <f t="shared" si="10"/>
        <v>1.4232394680330154E-6</v>
      </c>
    </row>
    <row r="203" spans="1:5" x14ac:dyDescent="0.25">
      <c r="A203" s="10">
        <v>2010</v>
      </c>
      <c r="B203" s="80">
        <f t="shared" si="9"/>
        <v>73.196710999999993</v>
      </c>
      <c r="C203" s="80">
        <f>Tabla116192640152[[#This Row],[Balanza Comercial Absoluta Colombia 
(US$ millones)]]/2</f>
        <v>36.598355499999997</v>
      </c>
      <c r="D203" s="5">
        <v>287018.18463752925</v>
      </c>
      <c r="E203" s="19">
        <f t="shared" si="10"/>
        <v>1.275123231171554E-6</v>
      </c>
    </row>
    <row r="204" spans="1:5" x14ac:dyDescent="0.25">
      <c r="A204" s="10">
        <v>2011</v>
      </c>
      <c r="B204" s="80">
        <f t="shared" si="9"/>
        <v>96.406505999999993</v>
      </c>
      <c r="C204" s="80">
        <f>Tabla116192640152[[#This Row],[Balanza Comercial Absoluta Colombia 
(US$ millones)]]/2</f>
        <v>48.203252999999997</v>
      </c>
      <c r="D204" s="5">
        <v>335415.15670218616</v>
      </c>
      <c r="E204" s="19">
        <f t="shared" si="10"/>
        <v>1.4371220869663763E-6</v>
      </c>
    </row>
    <row r="205" spans="1:5" x14ac:dyDescent="0.25">
      <c r="A205" s="10">
        <v>2012</v>
      </c>
      <c r="B205" s="80">
        <f t="shared" si="9"/>
        <v>136.154076</v>
      </c>
      <c r="C205" s="80">
        <f>Tabla116192640152[[#This Row],[Balanza Comercial Absoluta Colombia 
(US$ millones)]]/2</f>
        <v>68.077038000000002</v>
      </c>
      <c r="D205" s="5">
        <v>369659.70037551981</v>
      </c>
      <c r="E205" s="19">
        <f t="shared" si="10"/>
        <v>1.8416137309759153E-6</v>
      </c>
    </row>
    <row r="206" spans="1:5" x14ac:dyDescent="0.25">
      <c r="A206" s="10">
        <v>2013</v>
      </c>
      <c r="B206" s="80">
        <f t="shared" si="9"/>
        <v>123.074658</v>
      </c>
      <c r="C206" s="80">
        <f>Tabla116192640152[[#This Row],[Balanza Comercial Absoluta Colombia 
(US$ millones)]]/2</f>
        <v>61.537329</v>
      </c>
      <c r="D206" s="5">
        <v>380191.88186037214</v>
      </c>
      <c r="E206" s="19">
        <f t="shared" si="10"/>
        <v>1.6185860860280014E-6</v>
      </c>
    </row>
    <row r="207" spans="1:5" x14ac:dyDescent="0.25">
      <c r="A207" s="10">
        <v>2014</v>
      </c>
      <c r="B207" s="80">
        <f t="shared" si="9"/>
        <v>138.232888</v>
      </c>
      <c r="C207" s="80">
        <f>Tabla116192640152[[#This Row],[Balanza Comercial Absoluta Colombia 
(US$ millones)]]/2</f>
        <v>69.116444000000001</v>
      </c>
      <c r="D207" s="5">
        <v>378416.02053371473</v>
      </c>
      <c r="E207" s="19">
        <f t="shared" si="10"/>
        <v>1.826467175002759E-6</v>
      </c>
    </row>
    <row r="208" spans="1:5" x14ac:dyDescent="0.25">
      <c r="A208" s="11">
        <v>2015</v>
      </c>
      <c r="B208" s="80">
        <f t="shared" si="9"/>
        <v>133.12560999999999</v>
      </c>
      <c r="C208" s="85">
        <f>Tabla116192640152[[#This Row],[Balanza Comercial Absoluta Colombia 
(US$ millones)]]/2</f>
        <v>66.562804999999997</v>
      </c>
      <c r="D208" s="6">
        <v>292080.15563330991</v>
      </c>
      <c r="E208" s="19">
        <f t="shared" si="10"/>
        <v>2.2789225394540609E-6</v>
      </c>
    </row>
    <row r="209" spans="1:10" x14ac:dyDescent="0.25">
      <c r="A209" t="s">
        <v>95</v>
      </c>
    </row>
    <row r="211" spans="1:10" ht="15.75" x14ac:dyDescent="0.25">
      <c r="A211" s="130" t="s">
        <v>62</v>
      </c>
      <c r="B211" s="130"/>
      <c r="C211" s="130"/>
      <c r="D211" s="130"/>
      <c r="E211" s="130"/>
    </row>
    <row r="212" spans="1:10" ht="60" x14ac:dyDescent="0.25">
      <c r="A212" s="28" t="s">
        <v>3</v>
      </c>
      <c r="B212" s="29" t="s">
        <v>148</v>
      </c>
      <c r="C212" s="29" t="s">
        <v>151</v>
      </c>
      <c r="D212" s="29" t="s">
        <v>7</v>
      </c>
      <c r="E212" s="29" t="s">
        <v>55</v>
      </c>
    </row>
    <row r="213" spans="1:10" x14ac:dyDescent="0.25">
      <c r="A213" s="31">
        <v>1991</v>
      </c>
      <c r="B213" s="80">
        <f t="shared" ref="B213:B237" si="11">B125</f>
        <v>4.3739749999999997</v>
      </c>
      <c r="C213" s="80">
        <f>Tabla11617212741153[[#This Row],[Balanza Comercial Absoluta USA
(US$ millones)]]/2</f>
        <v>2.1869874999999999</v>
      </c>
      <c r="D213" s="5">
        <v>6174.0429999999997</v>
      </c>
      <c r="E213" s="43">
        <f t="shared" ref="E213:E237" si="12">(C213/D213)/10000</f>
        <v>3.5422291357543183E-8</v>
      </c>
    </row>
    <row r="214" spans="1:10" x14ac:dyDescent="0.25">
      <c r="A214" s="31">
        <v>1992</v>
      </c>
      <c r="B214" s="80">
        <f t="shared" si="11"/>
        <v>5.581029</v>
      </c>
      <c r="C214" s="80">
        <f>Tabla11617212741153[[#This Row],[Balanza Comercial Absoluta USA
(US$ millones)]]/2</f>
        <v>2.7905145</v>
      </c>
      <c r="D214" s="5">
        <v>6539.299</v>
      </c>
      <c r="E214" s="43">
        <f t="shared" si="12"/>
        <v>4.2672991401677762E-8</v>
      </c>
      <c r="F214" s="7" t="s">
        <v>51</v>
      </c>
      <c r="I214" s="1" t="s">
        <v>10</v>
      </c>
      <c r="J214" s="7" t="s">
        <v>63</v>
      </c>
    </row>
    <row r="215" spans="1:10" x14ac:dyDescent="0.25">
      <c r="A215" s="31">
        <v>1993</v>
      </c>
      <c r="B215" s="80">
        <f t="shared" si="11"/>
        <v>9.8315420000000007</v>
      </c>
      <c r="C215" s="80">
        <f>Tabla11617212741153[[#This Row],[Balanza Comercial Absoluta USA
(US$ millones)]]/2</f>
        <v>4.9157710000000003</v>
      </c>
      <c r="D215" s="5">
        <v>6878.7179999999998</v>
      </c>
      <c r="E215" s="43">
        <f t="shared" si="12"/>
        <v>7.1463476188440931E-8</v>
      </c>
    </row>
    <row r="216" spans="1:10" x14ac:dyDescent="0.25">
      <c r="A216" s="31">
        <v>1994</v>
      </c>
      <c r="B216" s="80">
        <f t="shared" si="11"/>
        <v>11.896477000000001</v>
      </c>
      <c r="C216" s="80">
        <f>Tabla11617212741153[[#This Row],[Balanza Comercial Absoluta USA
(US$ millones)]]/2</f>
        <v>5.9482385000000004</v>
      </c>
      <c r="D216" s="5">
        <v>7308.7550000000001</v>
      </c>
      <c r="E216" s="43">
        <f t="shared" si="12"/>
        <v>8.138511278596696E-8</v>
      </c>
    </row>
    <row r="217" spans="1:10" x14ac:dyDescent="0.25">
      <c r="A217" s="31">
        <v>1995</v>
      </c>
      <c r="B217" s="80">
        <f t="shared" si="11"/>
        <v>14.834728999999999</v>
      </c>
      <c r="C217" s="80">
        <f>Tabla11617212741153[[#This Row],[Balanza Comercial Absoluta USA
(US$ millones)]]/2</f>
        <v>7.4173644999999997</v>
      </c>
      <c r="D217" s="5">
        <v>7664.06</v>
      </c>
      <c r="E217" s="43">
        <f t="shared" si="12"/>
        <v>9.6781138195682169E-8</v>
      </c>
    </row>
    <row r="218" spans="1:10" x14ac:dyDescent="0.25">
      <c r="A218" s="31">
        <v>1996</v>
      </c>
      <c r="B218" s="80">
        <f t="shared" si="11"/>
        <v>16.113661</v>
      </c>
      <c r="C218" s="80">
        <f>Tabla11617212741153[[#This Row],[Balanza Comercial Absoluta USA
(US$ millones)]]/2</f>
        <v>8.0568305000000002</v>
      </c>
      <c r="D218" s="5">
        <v>8100.201</v>
      </c>
      <c r="E218" s="43">
        <f t="shared" si="12"/>
        <v>9.9464575014866928E-8</v>
      </c>
    </row>
    <row r="219" spans="1:10" x14ac:dyDescent="0.25">
      <c r="A219" s="31">
        <v>1997</v>
      </c>
      <c r="B219" s="80">
        <f t="shared" si="11"/>
        <v>18.552119000000001</v>
      </c>
      <c r="C219" s="80">
        <f>Tabla11617212741153[[#This Row],[Balanza Comercial Absoluta USA
(US$ millones)]]/2</f>
        <v>9.2760595000000006</v>
      </c>
      <c r="D219" s="5">
        <v>8608.5149999999994</v>
      </c>
      <c r="E219" s="43">
        <f t="shared" si="12"/>
        <v>1.0775446752430589E-7</v>
      </c>
    </row>
    <row r="220" spans="1:10" x14ac:dyDescent="0.25">
      <c r="A220" s="31">
        <v>1998</v>
      </c>
      <c r="B220" s="80">
        <f t="shared" si="11"/>
        <v>19.246645999999998</v>
      </c>
      <c r="C220" s="80">
        <f>Tabla11617212741153[[#This Row],[Balanza Comercial Absoluta USA
(US$ millones)]]/2</f>
        <v>9.6233229999999992</v>
      </c>
      <c r="D220" s="5">
        <v>9089.1679999999997</v>
      </c>
      <c r="E220" s="43">
        <f t="shared" si="12"/>
        <v>1.0587683053058321E-7</v>
      </c>
    </row>
    <row r="221" spans="1:10" x14ac:dyDescent="0.25">
      <c r="A221" s="31">
        <v>1999</v>
      </c>
      <c r="B221" s="80">
        <f t="shared" si="11"/>
        <v>23.298636000000002</v>
      </c>
      <c r="C221" s="80">
        <f>Tabla11617212741153[[#This Row],[Balanza Comercial Absoluta USA
(US$ millones)]]/2</f>
        <v>11.649318000000001</v>
      </c>
      <c r="D221" s="5">
        <v>9660.6239999999998</v>
      </c>
      <c r="E221" s="43">
        <f t="shared" si="12"/>
        <v>1.2058556465917729E-7</v>
      </c>
    </row>
    <row r="222" spans="1:10" x14ac:dyDescent="0.25">
      <c r="A222" s="31">
        <v>2000</v>
      </c>
      <c r="B222" s="80">
        <f t="shared" si="11"/>
        <v>15.686513999999999</v>
      </c>
      <c r="C222" s="80">
        <f>Tabla11617212741153[[#This Row],[Balanza Comercial Absoluta USA
(US$ millones)]]/2</f>
        <v>7.8432569999999995</v>
      </c>
      <c r="D222" s="5">
        <v>10284.779</v>
      </c>
      <c r="E222" s="43">
        <f t="shared" si="12"/>
        <v>7.6260821938906015E-8</v>
      </c>
    </row>
    <row r="223" spans="1:10" x14ac:dyDescent="0.25">
      <c r="A223" s="31">
        <v>2001</v>
      </c>
      <c r="B223" s="80">
        <f t="shared" si="11"/>
        <v>18.772084</v>
      </c>
      <c r="C223" s="80">
        <f>Tabla11617212741153[[#This Row],[Balanza Comercial Absoluta USA
(US$ millones)]]/2</f>
        <v>9.3860419999999998</v>
      </c>
      <c r="D223" s="5">
        <v>10621.824000000001</v>
      </c>
      <c r="E223" s="43">
        <f t="shared" si="12"/>
        <v>8.8365632870587955E-8</v>
      </c>
    </row>
    <row r="224" spans="1:10" x14ac:dyDescent="0.25">
      <c r="A224" s="31">
        <v>2002</v>
      </c>
      <c r="B224" s="80">
        <f t="shared" si="11"/>
        <v>21.117947999999998</v>
      </c>
      <c r="C224" s="80">
        <f>Tabla11617212741153[[#This Row],[Balanza Comercial Absoluta USA
(US$ millones)]]/2</f>
        <v>10.558973999999999</v>
      </c>
      <c r="D224" s="5">
        <v>10977.513999999999</v>
      </c>
      <c r="E224" s="43">
        <f t="shared" si="12"/>
        <v>9.6187297051044526E-8</v>
      </c>
    </row>
    <row r="225" spans="1:5" x14ac:dyDescent="0.25">
      <c r="A225" s="31">
        <v>2003</v>
      </c>
      <c r="B225" s="80">
        <f t="shared" si="11"/>
        <v>21.255986999999998</v>
      </c>
      <c r="C225" s="80">
        <f>Tabla11617212741153[[#This Row],[Balanza Comercial Absoluta USA
(US$ millones)]]/2</f>
        <v>10.627993499999999</v>
      </c>
      <c r="D225" s="5">
        <v>11510.67</v>
      </c>
      <c r="E225" s="43">
        <f t="shared" si="12"/>
        <v>9.2331667053264481E-8</v>
      </c>
    </row>
    <row r="226" spans="1:5" x14ac:dyDescent="0.25">
      <c r="A226" s="31">
        <v>2004</v>
      </c>
      <c r="B226" s="80">
        <f t="shared" si="11"/>
        <v>27.791733000000001</v>
      </c>
      <c r="C226" s="80">
        <f>Tabla11617212741153[[#This Row],[Balanza Comercial Absoluta USA
(US$ millones)]]/2</f>
        <v>13.8958665</v>
      </c>
      <c r="D226" s="5">
        <v>12274.928</v>
      </c>
      <c r="E226" s="43">
        <f t="shared" si="12"/>
        <v>1.1320527908595473E-7</v>
      </c>
    </row>
    <row r="227" spans="1:5" x14ac:dyDescent="0.25">
      <c r="A227" s="31">
        <v>2005</v>
      </c>
      <c r="B227" s="80">
        <f t="shared" si="11"/>
        <v>39.698695000000001</v>
      </c>
      <c r="C227" s="80">
        <f>Tabla11617212741153[[#This Row],[Balanza Comercial Absoluta USA
(US$ millones)]]/2</f>
        <v>19.8493475</v>
      </c>
      <c r="D227" s="5">
        <v>13093.726000000001</v>
      </c>
      <c r="E227" s="43">
        <f t="shared" si="12"/>
        <v>1.5159433991516241E-7</v>
      </c>
    </row>
    <row r="228" spans="1:5" x14ac:dyDescent="0.25">
      <c r="A228" s="31">
        <v>2006</v>
      </c>
      <c r="B228" s="80">
        <f t="shared" si="11"/>
        <v>48.112077999999997</v>
      </c>
      <c r="C228" s="80">
        <f>Tabla11617212741153[[#This Row],[Balanza Comercial Absoluta USA
(US$ millones)]]/2</f>
        <v>24.056038999999998</v>
      </c>
      <c r="D228" s="5">
        <v>13855.888000000001</v>
      </c>
      <c r="E228" s="43">
        <f t="shared" si="12"/>
        <v>1.7361600353582534E-7</v>
      </c>
    </row>
    <row r="229" spans="1:5" x14ac:dyDescent="0.25">
      <c r="A229" s="31">
        <v>2007</v>
      </c>
      <c r="B229" s="80">
        <f t="shared" si="11"/>
        <v>55.234116</v>
      </c>
      <c r="C229" s="80">
        <f>Tabla11617212741153[[#This Row],[Balanza Comercial Absoluta USA
(US$ millones)]]/2</f>
        <v>27.617058</v>
      </c>
      <c r="D229" s="5">
        <v>14477.635</v>
      </c>
      <c r="E229" s="43">
        <f t="shared" si="12"/>
        <v>1.9075669472258416E-7</v>
      </c>
    </row>
    <row r="230" spans="1:5" x14ac:dyDescent="0.25">
      <c r="A230" s="31">
        <v>2008</v>
      </c>
      <c r="B230" s="80">
        <f t="shared" si="11"/>
        <v>62.739686000000006</v>
      </c>
      <c r="C230" s="80">
        <f>Tabla11617212741153[[#This Row],[Balanza Comercial Absoluta USA
(US$ millones)]]/2</f>
        <v>31.369843000000003</v>
      </c>
      <c r="D230" s="5">
        <v>14718.582</v>
      </c>
      <c r="E230" s="43">
        <f t="shared" si="12"/>
        <v>2.131308776891687E-7</v>
      </c>
    </row>
    <row r="231" spans="1:5" x14ac:dyDescent="0.25">
      <c r="A231" s="31">
        <v>2009</v>
      </c>
      <c r="B231" s="80">
        <f t="shared" si="11"/>
        <v>66.556846000000007</v>
      </c>
      <c r="C231" s="80">
        <f>Tabla11617212741153[[#This Row],[Balanza Comercial Absoluta USA
(US$ millones)]]/2</f>
        <v>33.278423000000004</v>
      </c>
      <c r="D231" s="5">
        <v>14418.739</v>
      </c>
      <c r="E231" s="43">
        <f t="shared" si="12"/>
        <v>2.3079981543462297E-7</v>
      </c>
    </row>
    <row r="232" spans="1:5" x14ac:dyDescent="0.25">
      <c r="A232" s="31">
        <v>2010</v>
      </c>
      <c r="B232" s="80">
        <f t="shared" si="11"/>
        <v>73.196710999999993</v>
      </c>
      <c r="C232" s="80">
        <f>Tabla11617212741153[[#This Row],[Balanza Comercial Absoluta USA
(US$ millones)]]/2</f>
        <v>36.598355499999997</v>
      </c>
      <c r="D232" s="5">
        <v>14964.371999999999</v>
      </c>
      <c r="E232" s="43">
        <f t="shared" si="12"/>
        <v>2.4456993918622174E-7</v>
      </c>
    </row>
    <row r="233" spans="1:5" x14ac:dyDescent="0.25">
      <c r="A233" s="31">
        <v>2011</v>
      </c>
      <c r="B233" s="80">
        <f t="shared" si="11"/>
        <v>96.406505999999993</v>
      </c>
      <c r="C233" s="80">
        <f>Tabla11617212741153[[#This Row],[Balanza Comercial Absoluta USA
(US$ millones)]]/2</f>
        <v>48.203252999999997</v>
      </c>
      <c r="D233" s="5">
        <v>15517.925999999999</v>
      </c>
      <c r="E233" s="43">
        <f t="shared" si="12"/>
        <v>3.1062948102729706E-7</v>
      </c>
    </row>
    <row r="234" spans="1:5" x14ac:dyDescent="0.25">
      <c r="A234" s="31">
        <v>2012</v>
      </c>
      <c r="B234" s="80">
        <f t="shared" si="11"/>
        <v>136.154076</v>
      </c>
      <c r="C234" s="80">
        <f>Tabla11617212741153[[#This Row],[Balanza Comercial Absoluta USA
(US$ millones)]]/2</f>
        <v>68.077038000000002</v>
      </c>
      <c r="D234" s="5">
        <v>16155.254999999999</v>
      </c>
      <c r="E234" s="43">
        <f t="shared" si="12"/>
        <v>4.2139253140851072E-7</v>
      </c>
    </row>
    <row r="235" spans="1:5" x14ac:dyDescent="0.25">
      <c r="A235" s="31">
        <v>2013</v>
      </c>
      <c r="B235" s="80">
        <f t="shared" si="11"/>
        <v>123.074658</v>
      </c>
      <c r="C235" s="80">
        <f>Tabla11617212741153[[#This Row],[Balanza Comercial Absoluta USA
(US$ millones)]]/2</f>
        <v>61.537329</v>
      </c>
      <c r="D235" s="5">
        <v>16663.16</v>
      </c>
      <c r="E235" s="43">
        <f t="shared" si="12"/>
        <v>3.6930167507243523E-7</v>
      </c>
    </row>
    <row r="236" spans="1:5" x14ac:dyDescent="0.25">
      <c r="A236" s="31">
        <v>2014</v>
      </c>
      <c r="B236" s="80">
        <f t="shared" si="11"/>
        <v>138.232888</v>
      </c>
      <c r="C236" s="80">
        <f>Tabla11617212741153[[#This Row],[Balanza Comercial Absoluta USA
(US$ millones)]]/2</f>
        <v>69.116444000000001</v>
      </c>
      <c r="D236" s="5">
        <v>17348.071499999998</v>
      </c>
      <c r="E236" s="43">
        <f t="shared" si="12"/>
        <v>3.9840995582707863E-7</v>
      </c>
    </row>
    <row r="237" spans="1:5" x14ac:dyDescent="0.25">
      <c r="A237" s="31">
        <v>2015</v>
      </c>
      <c r="B237" s="80">
        <f t="shared" si="11"/>
        <v>133.12560999999999</v>
      </c>
      <c r="C237" s="80">
        <f>Tabla11617212741153[[#This Row],[Balanza Comercial Absoluta USA
(US$ millones)]]/2</f>
        <v>66.562804999999997</v>
      </c>
      <c r="D237" s="5">
        <v>17946.995999999999</v>
      </c>
      <c r="E237" s="43">
        <f t="shared" si="12"/>
        <v>3.7088549526617155E-7</v>
      </c>
    </row>
    <row r="238" spans="1:5" x14ac:dyDescent="0.25">
      <c r="A238" t="s">
        <v>95</v>
      </c>
      <c r="B238" s="45"/>
      <c r="C238" s="4"/>
      <c r="D238" s="46"/>
      <c r="E238" s="48"/>
    </row>
  </sheetData>
  <mergeCells count="8">
    <mergeCell ref="A182:E182"/>
    <mergeCell ref="A211:E211"/>
    <mergeCell ref="A5:D5"/>
    <mergeCell ref="A34:D34"/>
    <mergeCell ref="A64:D64"/>
    <mergeCell ref="A94:D94"/>
    <mergeCell ref="A123:D123"/>
    <mergeCell ref="A152:D152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" sqref="B2:B26"/>
    </sheetView>
  </sheetViews>
  <sheetFormatPr baseColWidth="10" defaultRowHeight="15" x14ac:dyDescent="0.25"/>
  <cols>
    <col min="2" max="2" width="12.85546875" customWidth="1"/>
  </cols>
  <sheetData>
    <row r="1" spans="1:7" ht="75" x14ac:dyDescent="0.25">
      <c r="A1" s="34" t="s">
        <v>3</v>
      </c>
      <c r="B1" s="34" t="s">
        <v>142</v>
      </c>
    </row>
    <row r="2" spans="1:7" x14ac:dyDescent="0.25">
      <c r="A2" s="54">
        <v>1991</v>
      </c>
      <c r="B2" s="74">
        <f>('Export 09'!B2)-('Import 09'!B2)</f>
        <v>-2.2895190000000003</v>
      </c>
      <c r="D2" s="128" t="s">
        <v>36</v>
      </c>
      <c r="E2" s="128"/>
      <c r="F2" s="119" t="s">
        <v>10</v>
      </c>
      <c r="G2" s="7" t="s">
        <v>37</v>
      </c>
    </row>
    <row r="3" spans="1:7" x14ac:dyDescent="0.25">
      <c r="A3" s="55">
        <v>1992</v>
      </c>
      <c r="B3" s="74">
        <f>('Export 09'!B3)-('Import 09'!B3)</f>
        <v>-2.4110810000000003</v>
      </c>
    </row>
    <row r="4" spans="1:7" x14ac:dyDescent="0.25">
      <c r="A4" s="54">
        <v>1993</v>
      </c>
      <c r="B4" s="74">
        <f>('Export 09'!B4)-('Import 09'!B4)</f>
        <v>-7.3323020000000003</v>
      </c>
    </row>
    <row r="5" spans="1:7" x14ac:dyDescent="0.25">
      <c r="A5" s="55">
        <v>1994</v>
      </c>
      <c r="B5" s="74">
        <f>('Export 09'!B5)-('Import 09'!B5)</f>
        <v>-7.8141390000000008</v>
      </c>
    </row>
    <row r="6" spans="1:7" x14ac:dyDescent="0.25">
      <c r="A6" s="54">
        <v>1995</v>
      </c>
      <c r="B6" s="74">
        <f>('Export 09'!B6)-('Import 09'!B6)</f>
        <v>-11.960359</v>
      </c>
    </row>
    <row r="7" spans="1:7" x14ac:dyDescent="0.25">
      <c r="A7" s="55">
        <v>1996</v>
      </c>
      <c r="B7" s="74">
        <f>('Export 09'!B7)-('Import 09'!B7)</f>
        <v>-13.081849</v>
      </c>
    </row>
    <row r="8" spans="1:7" x14ac:dyDescent="0.25">
      <c r="A8" s="54">
        <v>1997</v>
      </c>
      <c r="B8" s="74">
        <f>('Export 09'!B8)-('Import 09'!B8)</f>
        <v>-15.853833</v>
      </c>
    </row>
    <row r="9" spans="1:7" x14ac:dyDescent="0.25">
      <c r="A9" s="55">
        <v>1998</v>
      </c>
      <c r="B9" s="74">
        <f>('Export 09'!B9)-('Import 09'!B9)</f>
        <v>-17.161290000000001</v>
      </c>
    </row>
    <row r="10" spans="1:7" x14ac:dyDescent="0.25">
      <c r="A10" s="54">
        <v>1999</v>
      </c>
      <c r="B10" s="74">
        <f>('Export 09'!B10)-('Import 09'!B10)</f>
        <v>-20.342635999999999</v>
      </c>
    </row>
    <row r="11" spans="1:7" x14ac:dyDescent="0.25">
      <c r="A11" s="55">
        <v>2000</v>
      </c>
      <c r="B11" s="74">
        <f>('Export 09'!B11)-('Import 09'!B11)</f>
        <v>-11.727242</v>
      </c>
    </row>
    <row r="12" spans="1:7" x14ac:dyDescent="0.25">
      <c r="A12" s="54">
        <v>2001</v>
      </c>
      <c r="B12" s="74">
        <f>('Export 09'!B12)-('Import 09'!B12)</f>
        <v>-10.213576</v>
      </c>
    </row>
    <row r="13" spans="1:7" x14ac:dyDescent="0.25">
      <c r="A13" s="55">
        <v>2002</v>
      </c>
      <c r="B13" s="74">
        <f>('Export 09'!B13)-('Import 09'!B13)</f>
        <v>-13.755357999999999</v>
      </c>
    </row>
    <row r="14" spans="1:7" x14ac:dyDescent="0.25">
      <c r="A14" s="54">
        <v>2003</v>
      </c>
      <c r="B14" s="74">
        <f>('Export 09'!B14)-('Import 09'!B14)</f>
        <v>-10.977077</v>
      </c>
    </row>
    <row r="15" spans="1:7" x14ac:dyDescent="0.25">
      <c r="A15" s="55">
        <v>2004</v>
      </c>
      <c r="B15" s="74">
        <f>('Export 09'!B15)-('Import 09'!B15)</f>
        <v>-10.257809000000002</v>
      </c>
    </row>
    <row r="16" spans="1:7" x14ac:dyDescent="0.25">
      <c r="A16" s="54">
        <v>2005</v>
      </c>
      <c r="B16" s="74">
        <f>('Export 09'!B16)-('Import 09'!B16)</f>
        <v>-1.3155929999999998</v>
      </c>
    </row>
    <row r="17" spans="1:2" x14ac:dyDescent="0.25">
      <c r="A17" s="55">
        <v>2006</v>
      </c>
      <c r="B17" s="74">
        <f>('Export 09'!B17)-('Import 09'!B17)</f>
        <v>-16.198036000000002</v>
      </c>
    </row>
    <row r="18" spans="1:2" x14ac:dyDescent="0.25">
      <c r="A18" s="54">
        <v>2007</v>
      </c>
      <c r="B18" s="74">
        <f>('Export 09'!B18)-('Import 09'!B18)</f>
        <v>-19.297027999999997</v>
      </c>
    </row>
    <row r="19" spans="1:2" x14ac:dyDescent="0.25">
      <c r="A19" s="55">
        <v>2008</v>
      </c>
      <c r="B19" s="74">
        <f>('Export 09'!B19)-('Import 09'!B19)</f>
        <v>-23.139916000000003</v>
      </c>
    </row>
    <row r="20" spans="1:2" x14ac:dyDescent="0.25">
      <c r="A20" s="54">
        <v>2009</v>
      </c>
      <c r="B20" s="74">
        <f>('Export 09'!B20)-('Import 09'!B20)</f>
        <v>-30.144489999999998</v>
      </c>
    </row>
    <row r="21" spans="1:2" x14ac:dyDescent="0.25">
      <c r="A21" s="55">
        <v>2010</v>
      </c>
      <c r="B21" s="74">
        <f>('Export 09'!B21)-('Import 09'!B21)</f>
        <v>-26.734011000000002</v>
      </c>
    </row>
    <row r="22" spans="1:2" x14ac:dyDescent="0.25">
      <c r="A22" s="54">
        <v>2011</v>
      </c>
      <c r="B22" s="74">
        <f>('Export 09'!B22)-('Import 09'!B22)</f>
        <v>-51.666938000000002</v>
      </c>
    </row>
    <row r="23" spans="1:2" x14ac:dyDescent="0.25">
      <c r="A23" s="55">
        <v>2012</v>
      </c>
      <c r="B23" s="74">
        <f>('Export 09'!B23)-('Import 09'!B23)</f>
        <v>-80.640150000000006</v>
      </c>
    </row>
    <row r="24" spans="1:2" x14ac:dyDescent="0.25">
      <c r="A24" s="54">
        <v>2013</v>
      </c>
      <c r="B24" s="74">
        <f>('Export 09'!B24)-('Import 09'!B24)</f>
        <v>-80.719831999999997</v>
      </c>
    </row>
    <row r="25" spans="1:2" x14ac:dyDescent="0.25">
      <c r="A25" s="55">
        <v>2014</v>
      </c>
      <c r="B25" s="74">
        <f>('Export 09'!B25)-('Import 09'!B25)</f>
        <v>-103.36700199999999</v>
      </c>
    </row>
    <row r="26" spans="1:2" x14ac:dyDescent="0.25">
      <c r="A26" s="54">
        <v>2015</v>
      </c>
      <c r="B26" s="74">
        <f>('Export 09'!B26)-('Import 09'!B26)</f>
        <v>-99.371591999999993</v>
      </c>
    </row>
    <row r="27" spans="1:2" x14ac:dyDescent="0.25">
      <c r="A27" t="s">
        <v>117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25" zoomScale="80" zoomScaleNormal="80" workbookViewId="0">
      <selection activeCell="B97" sqref="B97:B121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</cols>
  <sheetData>
    <row r="1" spans="1:10" x14ac:dyDescent="0.25">
      <c r="A1" s="7" t="s">
        <v>30</v>
      </c>
    </row>
    <row r="4" spans="1:10" x14ac:dyDescent="0.25">
      <c r="A4" s="134" t="s">
        <v>31</v>
      </c>
      <c r="B4" s="134"/>
      <c r="C4" s="134"/>
      <c r="D4" s="134"/>
    </row>
    <row r="5" spans="1:10" ht="60" x14ac:dyDescent="0.25">
      <c r="A5" s="61" t="s">
        <v>3</v>
      </c>
      <c r="B5" s="34" t="s">
        <v>121</v>
      </c>
      <c r="C5" s="34" t="s">
        <v>68</v>
      </c>
      <c r="D5" s="34" t="s">
        <v>38</v>
      </c>
    </row>
    <row r="6" spans="1:10" x14ac:dyDescent="0.25">
      <c r="A6" s="37">
        <v>1991</v>
      </c>
      <c r="B6" s="69">
        <v>734.10299999999995</v>
      </c>
      <c r="C6" s="39">
        <v>34830570</v>
      </c>
      <c r="D6" s="35">
        <f>(B6/C6)*1000</f>
        <v>2.1076399266506406E-2</v>
      </c>
      <c r="F6" s="7" t="s">
        <v>69</v>
      </c>
      <c r="I6" s="1" t="s">
        <v>10</v>
      </c>
      <c r="J6" s="7" t="s">
        <v>70</v>
      </c>
    </row>
    <row r="7" spans="1:10" x14ac:dyDescent="0.25">
      <c r="A7" s="38">
        <v>1992</v>
      </c>
      <c r="B7" s="70">
        <v>1414.192</v>
      </c>
      <c r="C7" s="40">
        <v>35520940</v>
      </c>
      <c r="D7" s="35">
        <f t="shared" ref="D7:D30" si="0">(B7/C7)*1000</f>
        <v>3.9812910356538993E-2</v>
      </c>
    </row>
    <row r="8" spans="1:10" x14ac:dyDescent="0.25">
      <c r="A8" s="37">
        <v>1993</v>
      </c>
      <c r="B8" s="69">
        <v>2008.502</v>
      </c>
      <c r="C8" s="39">
        <v>36207108</v>
      </c>
      <c r="D8" s="35">
        <f t="shared" si="0"/>
        <v>5.5472588421036001E-2</v>
      </c>
    </row>
    <row r="9" spans="1:10" x14ac:dyDescent="0.25">
      <c r="A9" s="38">
        <v>1994</v>
      </c>
      <c r="B9" s="70">
        <v>2032.5329999999999</v>
      </c>
      <c r="C9" s="40">
        <v>36853905</v>
      </c>
      <c r="D9" s="35">
        <f t="shared" si="0"/>
        <v>5.5151089145098732E-2</v>
      </c>
    </row>
    <row r="10" spans="1:10" x14ac:dyDescent="0.25">
      <c r="A10" s="37">
        <v>1995</v>
      </c>
      <c r="B10" s="69">
        <v>2091.5880000000002</v>
      </c>
      <c r="C10" s="39">
        <v>37472184</v>
      </c>
      <c r="D10" s="35">
        <f t="shared" si="0"/>
        <v>5.5817082879396629E-2</v>
      </c>
    </row>
    <row r="11" spans="1:10" x14ac:dyDescent="0.25">
      <c r="A11" s="38">
        <v>1996</v>
      </c>
      <c r="B11" s="70">
        <v>1953.7819999999999</v>
      </c>
      <c r="C11" s="40">
        <v>38068050</v>
      </c>
      <c r="D11" s="35">
        <f t="shared" si="0"/>
        <v>5.1323406373586247E-2</v>
      </c>
    </row>
    <row r="12" spans="1:10" x14ac:dyDescent="0.25">
      <c r="A12" s="37">
        <v>1997</v>
      </c>
      <c r="B12" s="69">
        <v>1089.6410000000001</v>
      </c>
      <c r="C12" s="39">
        <v>38635691</v>
      </c>
      <c r="D12" s="35">
        <f t="shared" si="0"/>
        <v>2.8202963938188656E-2</v>
      </c>
    </row>
    <row r="13" spans="1:10" x14ac:dyDescent="0.25">
      <c r="A13" s="38">
        <v>1998</v>
      </c>
      <c r="B13" s="70">
        <v>943.56700000000001</v>
      </c>
      <c r="C13" s="40">
        <v>39184456</v>
      </c>
      <c r="D13" s="35">
        <f t="shared" si="0"/>
        <v>2.4080135245465702E-2</v>
      </c>
    </row>
    <row r="14" spans="1:10" x14ac:dyDescent="0.25">
      <c r="A14" s="37">
        <v>1999</v>
      </c>
      <c r="B14" s="69">
        <v>1843.0740000000001</v>
      </c>
      <c r="C14" s="39">
        <v>39730798</v>
      </c>
      <c r="D14" s="35">
        <f t="shared" si="0"/>
        <v>4.6389050630193739E-2</v>
      </c>
    </row>
    <row r="15" spans="1:10" x14ac:dyDescent="0.25">
      <c r="A15" s="38">
        <v>2000</v>
      </c>
      <c r="B15" s="70">
        <v>1791.836</v>
      </c>
      <c r="C15" s="40">
        <v>40295563</v>
      </c>
      <c r="D15" s="35">
        <f t="shared" si="0"/>
        <v>4.446732758145109E-2</v>
      </c>
    </row>
    <row r="16" spans="1:10" x14ac:dyDescent="0.25">
      <c r="A16" s="37">
        <v>2001</v>
      </c>
      <c r="B16" s="69">
        <v>1957.27</v>
      </c>
      <c r="C16" s="39">
        <v>40813541</v>
      </c>
      <c r="D16" s="35">
        <f t="shared" si="0"/>
        <v>4.7956387807664126E-2</v>
      </c>
    </row>
    <row r="17" spans="1:4" x14ac:dyDescent="0.25">
      <c r="A17" s="38">
        <v>2002</v>
      </c>
      <c r="B17" s="70">
        <v>1236.923</v>
      </c>
      <c r="C17" s="40">
        <v>41328824</v>
      </c>
      <c r="D17" s="35">
        <f t="shared" si="0"/>
        <v>2.9928821589503732E-2</v>
      </c>
    </row>
    <row r="18" spans="1:4" x14ac:dyDescent="0.25">
      <c r="A18" s="37">
        <v>2003</v>
      </c>
      <c r="B18" s="69">
        <v>1441.682</v>
      </c>
      <c r="C18" s="39">
        <v>41848959</v>
      </c>
      <c r="D18" s="35">
        <f t="shared" si="0"/>
        <v>3.444965022905349E-2</v>
      </c>
    </row>
    <row r="19" spans="1:4" x14ac:dyDescent="0.25">
      <c r="A19" s="38">
        <v>2004</v>
      </c>
      <c r="B19" s="70">
        <v>2121.6509999999998</v>
      </c>
      <c r="C19" s="40">
        <v>42368489</v>
      </c>
      <c r="D19" s="35">
        <f t="shared" si="0"/>
        <v>5.0076154474142327E-2</v>
      </c>
    </row>
    <row r="20" spans="1:4" x14ac:dyDescent="0.25">
      <c r="A20" s="37">
        <v>2005</v>
      </c>
      <c r="B20" s="69">
        <v>3450.0210000000002</v>
      </c>
      <c r="C20" s="39">
        <v>42888592</v>
      </c>
      <c r="D20" s="35">
        <f t="shared" si="0"/>
        <v>8.0441460983377594E-2</v>
      </c>
    </row>
    <row r="21" spans="1:4" x14ac:dyDescent="0.25">
      <c r="A21" s="38">
        <v>2006</v>
      </c>
      <c r="B21" s="70">
        <v>1953.683</v>
      </c>
      <c r="C21" s="40">
        <v>43405956</v>
      </c>
      <c r="D21" s="35">
        <f t="shared" si="0"/>
        <v>4.500956043912499E-2</v>
      </c>
    </row>
    <row r="22" spans="1:4" x14ac:dyDescent="0.25">
      <c r="A22" s="37">
        <v>2007</v>
      </c>
      <c r="B22" s="69">
        <v>2639.74</v>
      </c>
      <c r="C22" s="39">
        <v>43926929</v>
      </c>
      <c r="D22" s="35">
        <f t="shared" si="0"/>
        <v>6.0093889103879757E-2</v>
      </c>
    </row>
    <row r="23" spans="1:4" x14ac:dyDescent="0.25">
      <c r="A23" s="38">
        <v>2008</v>
      </c>
      <c r="B23" s="70">
        <v>1717.326</v>
      </c>
      <c r="C23" s="40">
        <v>44451147</v>
      </c>
      <c r="D23" s="35">
        <f t="shared" si="0"/>
        <v>3.8634008701732718E-2</v>
      </c>
    </row>
    <row r="24" spans="1:4" x14ac:dyDescent="0.25">
      <c r="A24" s="37">
        <v>2009</v>
      </c>
      <c r="B24" s="69">
        <v>1575.6310000000001</v>
      </c>
      <c r="C24" s="39">
        <v>44978832</v>
      </c>
      <c r="D24" s="35">
        <f t="shared" si="0"/>
        <v>3.5030500569690204E-2</v>
      </c>
    </row>
    <row r="25" spans="1:4" x14ac:dyDescent="0.25">
      <c r="A25" s="38">
        <v>2010</v>
      </c>
      <c r="B25" s="70">
        <v>1504.893</v>
      </c>
      <c r="C25" s="40">
        <v>45509584</v>
      </c>
      <c r="D25" s="35">
        <f t="shared" si="0"/>
        <v>3.3067606155222161E-2</v>
      </c>
    </row>
    <row r="26" spans="1:4" x14ac:dyDescent="0.25">
      <c r="A26" s="37">
        <v>2011</v>
      </c>
      <c r="B26" s="69">
        <v>972.726</v>
      </c>
      <c r="C26" s="39">
        <v>46044601</v>
      </c>
      <c r="D26" s="35">
        <f t="shared" si="0"/>
        <v>2.1125734155020694E-2</v>
      </c>
    </row>
    <row r="27" spans="1:4" x14ac:dyDescent="0.25">
      <c r="A27" s="38">
        <v>2012</v>
      </c>
      <c r="B27" s="70">
        <v>1055.278</v>
      </c>
      <c r="C27" s="40">
        <v>46581823</v>
      </c>
      <c r="D27" s="35">
        <f t="shared" si="0"/>
        <v>2.2654287274244289E-2</v>
      </c>
    </row>
    <row r="28" spans="1:4" x14ac:dyDescent="0.25">
      <c r="A28" s="37">
        <v>2013</v>
      </c>
      <c r="B28" s="69">
        <v>1403.4190000000001</v>
      </c>
      <c r="C28" s="39">
        <v>47121089</v>
      </c>
      <c r="D28" s="35">
        <f t="shared" si="0"/>
        <v>2.9783246308250647E-2</v>
      </c>
    </row>
    <row r="29" spans="1:4" x14ac:dyDescent="0.25">
      <c r="A29" s="38">
        <v>2014</v>
      </c>
      <c r="B29" s="70">
        <v>1707.6569999999999</v>
      </c>
      <c r="C29" s="40">
        <v>47661787</v>
      </c>
      <c r="D29" s="35">
        <f t="shared" si="0"/>
        <v>3.5828639828380748E-2</v>
      </c>
    </row>
    <row r="30" spans="1:4" x14ac:dyDescent="0.25">
      <c r="A30" s="37">
        <v>2015</v>
      </c>
      <c r="B30" s="69">
        <v>2333.547</v>
      </c>
      <c r="C30" s="39">
        <v>48203405</v>
      </c>
      <c r="D30" s="35">
        <f t="shared" si="0"/>
        <v>4.8410418309660905E-2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61" t="s">
        <v>3</v>
      </c>
      <c r="B35" s="34" t="s">
        <v>127</v>
      </c>
      <c r="C35" s="34" t="s">
        <v>68</v>
      </c>
      <c r="D35" s="34" t="s">
        <v>129</v>
      </c>
    </row>
    <row r="36" spans="1:10" x14ac:dyDescent="0.25">
      <c r="A36" s="37">
        <v>1991</v>
      </c>
      <c r="B36" s="69">
        <v>1806.394</v>
      </c>
      <c r="C36" s="39">
        <v>34830570</v>
      </c>
      <c r="D36" s="35">
        <f>(B36/C36)*1000</f>
        <v>5.1862315201847115E-2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70">
        <v>3152.6379999999999</v>
      </c>
      <c r="C37" s="40">
        <v>35520940</v>
      </c>
      <c r="D37" s="35">
        <f t="shared" ref="D37:D60" si="1">(B37/C37)*1000</f>
        <v>8.8754351658486511E-2</v>
      </c>
    </row>
    <row r="38" spans="1:10" x14ac:dyDescent="0.25">
      <c r="A38" s="37">
        <v>1993</v>
      </c>
      <c r="B38" s="69">
        <v>3215.2869999999998</v>
      </c>
      <c r="C38" s="39">
        <v>36207108</v>
      </c>
      <c r="D38" s="35">
        <f t="shared" si="1"/>
        <v>8.8802646154451215E-2</v>
      </c>
    </row>
    <row r="39" spans="1:10" x14ac:dyDescent="0.25">
      <c r="A39" s="38">
        <v>1994</v>
      </c>
      <c r="B39" s="70">
        <v>4474.9809999999998</v>
      </c>
      <c r="C39" s="40">
        <v>36853905</v>
      </c>
      <c r="D39" s="35">
        <f t="shared" si="1"/>
        <v>0.12142488021282954</v>
      </c>
    </row>
    <row r="40" spans="1:10" x14ac:dyDescent="0.25">
      <c r="A40" s="37">
        <v>1995</v>
      </c>
      <c r="B40" s="69">
        <v>3992.277</v>
      </c>
      <c r="C40" s="39">
        <v>37472184</v>
      </c>
      <c r="D40" s="35">
        <f t="shared" si="1"/>
        <v>0.10653974692267737</v>
      </c>
    </row>
    <row r="41" spans="1:10" x14ac:dyDescent="0.25">
      <c r="A41" s="38">
        <v>1996</v>
      </c>
      <c r="B41" s="70">
        <v>5379.8019999999997</v>
      </c>
      <c r="C41" s="40">
        <v>38068050</v>
      </c>
      <c r="D41" s="35">
        <f t="shared" si="1"/>
        <v>0.141320661289454</v>
      </c>
    </row>
    <row r="42" spans="1:10" x14ac:dyDescent="0.25">
      <c r="A42" s="37">
        <v>1997</v>
      </c>
      <c r="B42" s="69">
        <v>3821.105</v>
      </c>
      <c r="C42" s="39">
        <v>38635691</v>
      </c>
      <c r="D42" s="35">
        <f t="shared" si="1"/>
        <v>9.8900910041960943E-2</v>
      </c>
    </row>
    <row r="43" spans="1:10" x14ac:dyDescent="0.25">
      <c r="A43" s="38">
        <v>1998</v>
      </c>
      <c r="B43" s="70">
        <v>3538.69</v>
      </c>
      <c r="C43" s="40">
        <v>39184456</v>
      </c>
      <c r="D43" s="35">
        <f t="shared" si="1"/>
        <v>9.0308514172048229E-2</v>
      </c>
    </row>
    <row r="44" spans="1:10" x14ac:dyDescent="0.25">
      <c r="A44" s="37">
        <v>1999</v>
      </c>
      <c r="B44" s="69">
        <v>3328.6469999999999</v>
      </c>
      <c r="C44" s="39">
        <v>39730798</v>
      </c>
      <c r="D44" s="35">
        <f t="shared" si="1"/>
        <v>8.3780018714952567E-2</v>
      </c>
    </row>
    <row r="45" spans="1:10" x14ac:dyDescent="0.25">
      <c r="A45" s="38">
        <v>2000</v>
      </c>
      <c r="B45" s="70">
        <v>2423.2669999999998</v>
      </c>
      <c r="C45" s="40">
        <v>40295563</v>
      </c>
      <c r="D45" s="35">
        <f t="shared" si="1"/>
        <v>6.0137315862791141E-2</v>
      </c>
    </row>
    <row r="46" spans="1:10" x14ac:dyDescent="0.25">
      <c r="A46" s="37">
        <v>2001</v>
      </c>
      <c r="B46" s="69">
        <v>3458.69</v>
      </c>
      <c r="C46" s="39">
        <v>40813541</v>
      </c>
      <c r="D46" s="35">
        <f t="shared" si="1"/>
        <v>8.4743688375385026E-2</v>
      </c>
    </row>
    <row r="47" spans="1:10" x14ac:dyDescent="0.25">
      <c r="A47" s="38">
        <v>2002</v>
      </c>
      <c r="B47" s="70">
        <v>3495.8850000000002</v>
      </c>
      <c r="C47" s="40">
        <v>41328824</v>
      </c>
      <c r="D47" s="35">
        <f t="shared" si="1"/>
        <v>8.458709108200127E-2</v>
      </c>
    </row>
    <row r="48" spans="1:10" x14ac:dyDescent="0.25">
      <c r="A48" s="37">
        <v>2003</v>
      </c>
      <c r="B48" s="69">
        <v>4221.4390000000003</v>
      </c>
      <c r="C48" s="39">
        <v>41848959</v>
      </c>
      <c r="D48" s="35">
        <f t="shared" si="1"/>
        <v>0.10087321407445285</v>
      </c>
    </row>
    <row r="49" spans="1:4" x14ac:dyDescent="0.25">
      <c r="A49" s="38">
        <v>2004</v>
      </c>
      <c r="B49" s="70">
        <v>2268.058</v>
      </c>
      <c r="C49" s="40">
        <v>42368489</v>
      </c>
      <c r="D49" s="35">
        <f t="shared" si="1"/>
        <v>5.3531717876462388E-2</v>
      </c>
    </row>
    <row r="50" spans="1:4" x14ac:dyDescent="0.25">
      <c r="A50" s="37">
        <v>2005</v>
      </c>
      <c r="B50" s="69">
        <v>3775.5949999999998</v>
      </c>
      <c r="C50" s="39">
        <v>42888592</v>
      </c>
      <c r="D50" s="35">
        <f t="shared" si="1"/>
        <v>8.8032617158427584E-2</v>
      </c>
    </row>
    <row r="51" spans="1:4" x14ac:dyDescent="0.25">
      <c r="A51" s="38">
        <v>2006</v>
      </c>
      <c r="B51" s="70">
        <v>3769.5279999999998</v>
      </c>
      <c r="C51" s="40">
        <v>43405956</v>
      </c>
      <c r="D51" s="35">
        <f t="shared" si="1"/>
        <v>8.6843565892201519E-2</v>
      </c>
    </row>
    <row r="52" spans="1:4" x14ac:dyDescent="0.25">
      <c r="A52" s="37">
        <v>2007</v>
      </c>
      <c r="B52" s="69">
        <v>4219.6670000000004</v>
      </c>
      <c r="C52" s="39">
        <v>43926929</v>
      </c>
      <c r="D52" s="35">
        <f t="shared" si="1"/>
        <v>9.6061051752559357E-2</v>
      </c>
    </row>
    <row r="53" spans="1:4" x14ac:dyDescent="0.25">
      <c r="A53" s="38">
        <v>2008</v>
      </c>
      <c r="B53" s="70">
        <v>4908.3850000000002</v>
      </c>
      <c r="C53" s="40">
        <v>44451147</v>
      </c>
      <c r="D53" s="35">
        <f t="shared" si="1"/>
        <v>0.11042201003272199</v>
      </c>
    </row>
    <row r="54" spans="1:4" x14ac:dyDescent="0.25">
      <c r="A54" s="37">
        <v>2009</v>
      </c>
      <c r="B54" s="69">
        <v>4795.9279999999999</v>
      </c>
      <c r="C54" s="39">
        <v>44978832</v>
      </c>
      <c r="D54" s="35">
        <f t="shared" si="1"/>
        <v>0.10662633480567037</v>
      </c>
    </row>
    <row r="55" spans="1:4" x14ac:dyDescent="0.25">
      <c r="A55" s="38">
        <v>2010</v>
      </c>
      <c r="B55" s="70">
        <v>912.50599999999997</v>
      </c>
      <c r="C55" s="40">
        <v>45509584</v>
      </c>
      <c r="D55" s="35">
        <f t="shared" si="1"/>
        <v>2.0050853464184597E-2</v>
      </c>
    </row>
    <row r="56" spans="1:4" x14ac:dyDescent="0.25">
      <c r="A56" s="37">
        <v>2011</v>
      </c>
      <c r="B56" s="69">
        <v>1611.5440000000001</v>
      </c>
      <c r="C56" s="39">
        <v>46044601</v>
      </c>
      <c r="D56" s="35">
        <f t="shared" si="1"/>
        <v>3.4999630032628584E-2</v>
      </c>
    </row>
    <row r="57" spans="1:4" x14ac:dyDescent="0.25">
      <c r="A57" s="38">
        <v>2012</v>
      </c>
      <c r="B57" s="70">
        <v>1734.827</v>
      </c>
      <c r="C57" s="40">
        <v>46581823</v>
      </c>
      <c r="D57" s="35">
        <f t="shared" si="1"/>
        <v>3.7242574211833662E-2</v>
      </c>
    </row>
    <row r="58" spans="1:4" x14ac:dyDescent="0.25">
      <c r="A58" s="37">
        <v>2013</v>
      </c>
      <c r="B58" s="69">
        <v>1652.723</v>
      </c>
      <c r="C58" s="39">
        <v>47121089</v>
      </c>
      <c r="D58" s="35">
        <f t="shared" si="1"/>
        <v>3.5073955952079121E-2</v>
      </c>
    </row>
    <row r="59" spans="1:4" x14ac:dyDescent="0.25">
      <c r="A59" s="38">
        <v>2014</v>
      </c>
      <c r="B59" s="70">
        <v>1246.8779999999999</v>
      </c>
      <c r="C59" s="40">
        <v>47661787</v>
      </c>
      <c r="D59" s="35">
        <f t="shared" si="1"/>
        <v>2.6160957833998126E-2</v>
      </c>
    </row>
    <row r="60" spans="1:4" x14ac:dyDescent="0.25">
      <c r="A60" s="37">
        <v>2015</v>
      </c>
      <c r="B60" s="69">
        <v>520.46799999999996</v>
      </c>
      <c r="C60" s="39">
        <v>48203405</v>
      </c>
      <c r="D60" s="35">
        <f t="shared" si="1"/>
        <v>1.0797328528970099E-2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61" t="s">
        <v>3</v>
      </c>
      <c r="B64" s="34" t="s">
        <v>128</v>
      </c>
      <c r="C64" s="34" t="s">
        <v>68</v>
      </c>
      <c r="D64" s="34" t="s">
        <v>132</v>
      </c>
    </row>
    <row r="65" spans="1:10" x14ac:dyDescent="0.25">
      <c r="A65" s="37">
        <v>1991</v>
      </c>
      <c r="B65" s="69">
        <f>B6+B36</f>
        <v>2540.4969999999998</v>
      </c>
      <c r="C65" s="39">
        <v>34830570</v>
      </c>
      <c r="D65" s="35">
        <f>(B65/C65)*1000</f>
        <v>7.293871446835351E-2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70">
        <f t="shared" ref="B66:B89" si="2">B7+B37</f>
        <v>4566.83</v>
      </c>
      <c r="C66" s="40">
        <v>35520940</v>
      </c>
      <c r="D66" s="35">
        <f t="shared" ref="D66:D89" si="3">(B66/C66)*1000</f>
        <v>0.12856726201502552</v>
      </c>
    </row>
    <row r="67" spans="1:10" x14ac:dyDescent="0.25">
      <c r="A67" s="37">
        <v>1993</v>
      </c>
      <c r="B67" s="69">
        <f t="shared" si="2"/>
        <v>5223.7889999999998</v>
      </c>
      <c r="C67" s="39">
        <v>36207108</v>
      </c>
      <c r="D67" s="35">
        <f t="shared" si="3"/>
        <v>0.14427523457548722</v>
      </c>
    </row>
    <row r="68" spans="1:10" x14ac:dyDescent="0.25">
      <c r="A68" s="38">
        <v>1994</v>
      </c>
      <c r="B68" s="70">
        <f t="shared" si="2"/>
        <v>6507.5139999999992</v>
      </c>
      <c r="C68" s="40">
        <v>36853905</v>
      </c>
      <c r="D68" s="35">
        <f t="shared" si="3"/>
        <v>0.17657596935792827</v>
      </c>
    </row>
    <row r="69" spans="1:10" x14ac:dyDescent="0.25">
      <c r="A69" s="37">
        <v>1995</v>
      </c>
      <c r="B69" s="69">
        <f t="shared" si="2"/>
        <v>6083.8649999999998</v>
      </c>
      <c r="C69" s="39">
        <v>37472184</v>
      </c>
      <c r="D69" s="35">
        <f t="shared" si="3"/>
        <v>0.16235682980207397</v>
      </c>
    </row>
    <row r="70" spans="1:10" x14ac:dyDescent="0.25">
      <c r="A70" s="38">
        <v>1996</v>
      </c>
      <c r="B70" s="70">
        <f t="shared" si="2"/>
        <v>7333.5839999999998</v>
      </c>
      <c r="C70" s="40">
        <v>38068050</v>
      </c>
      <c r="D70" s="35">
        <f t="shared" si="3"/>
        <v>0.19264406766304026</v>
      </c>
    </row>
    <row r="71" spans="1:10" x14ac:dyDescent="0.25">
      <c r="A71" s="37">
        <v>1997</v>
      </c>
      <c r="B71" s="69">
        <f t="shared" si="2"/>
        <v>4910.7460000000001</v>
      </c>
      <c r="C71" s="39">
        <v>38635691</v>
      </c>
      <c r="D71" s="35">
        <f t="shared" si="3"/>
        <v>0.12710387398014961</v>
      </c>
    </row>
    <row r="72" spans="1:10" x14ac:dyDescent="0.25">
      <c r="A72" s="38">
        <v>1998</v>
      </c>
      <c r="B72" s="70">
        <f t="shared" si="2"/>
        <v>4482.2569999999996</v>
      </c>
      <c r="C72" s="40">
        <v>39184456</v>
      </c>
      <c r="D72" s="35">
        <f t="shared" si="3"/>
        <v>0.11438864941751391</v>
      </c>
    </row>
    <row r="73" spans="1:10" x14ac:dyDescent="0.25">
      <c r="A73" s="37">
        <v>1999</v>
      </c>
      <c r="B73" s="69">
        <f t="shared" si="2"/>
        <v>5171.7209999999995</v>
      </c>
      <c r="C73" s="39">
        <v>39730798</v>
      </c>
      <c r="D73" s="35">
        <f t="shared" si="3"/>
        <v>0.1301690693451463</v>
      </c>
    </row>
    <row r="74" spans="1:10" x14ac:dyDescent="0.25">
      <c r="A74" s="38">
        <v>2000</v>
      </c>
      <c r="B74" s="70">
        <f t="shared" si="2"/>
        <v>4215.1030000000001</v>
      </c>
      <c r="C74" s="40">
        <v>40295563</v>
      </c>
      <c r="D74" s="35">
        <f t="shared" si="3"/>
        <v>0.10460464344424224</v>
      </c>
    </row>
    <row r="75" spans="1:10" x14ac:dyDescent="0.25">
      <c r="A75" s="37">
        <v>2001</v>
      </c>
      <c r="B75" s="69">
        <f t="shared" si="2"/>
        <v>5415.96</v>
      </c>
      <c r="C75" s="39">
        <v>40813541</v>
      </c>
      <c r="D75" s="35">
        <f t="shared" si="3"/>
        <v>0.13270007618304916</v>
      </c>
    </row>
    <row r="76" spans="1:10" x14ac:dyDescent="0.25">
      <c r="A76" s="38">
        <v>2002</v>
      </c>
      <c r="B76" s="70">
        <f t="shared" si="2"/>
        <v>4732.808</v>
      </c>
      <c r="C76" s="40">
        <v>41328824</v>
      </c>
      <c r="D76" s="35">
        <f t="shared" si="3"/>
        <v>0.114515912671505</v>
      </c>
    </row>
    <row r="77" spans="1:10" x14ac:dyDescent="0.25">
      <c r="A77" s="37">
        <v>2003</v>
      </c>
      <c r="B77" s="69">
        <f t="shared" si="2"/>
        <v>5663.1210000000001</v>
      </c>
      <c r="C77" s="39">
        <v>41848959</v>
      </c>
      <c r="D77" s="35">
        <f t="shared" si="3"/>
        <v>0.13532286430350635</v>
      </c>
    </row>
    <row r="78" spans="1:10" x14ac:dyDescent="0.25">
      <c r="A78" s="38">
        <v>2004</v>
      </c>
      <c r="B78" s="70">
        <f t="shared" si="2"/>
        <v>4389.7089999999998</v>
      </c>
      <c r="C78" s="40">
        <v>42368489</v>
      </c>
      <c r="D78" s="35">
        <f t="shared" si="3"/>
        <v>0.10360787235060472</v>
      </c>
    </row>
    <row r="79" spans="1:10" x14ac:dyDescent="0.25">
      <c r="A79" s="37">
        <v>2005</v>
      </c>
      <c r="B79" s="69">
        <f t="shared" si="2"/>
        <v>7225.616</v>
      </c>
      <c r="C79" s="39">
        <v>42888592</v>
      </c>
      <c r="D79" s="35">
        <f t="shared" si="3"/>
        <v>0.16847407814180518</v>
      </c>
    </row>
    <row r="80" spans="1:10" x14ac:dyDescent="0.25">
      <c r="A80" s="38">
        <v>2006</v>
      </c>
      <c r="B80" s="70">
        <f t="shared" si="2"/>
        <v>5723.2109999999993</v>
      </c>
      <c r="C80" s="40">
        <v>43405956</v>
      </c>
      <c r="D80" s="35">
        <f t="shared" si="3"/>
        <v>0.13185312633132651</v>
      </c>
    </row>
    <row r="81" spans="1:4" x14ac:dyDescent="0.25">
      <c r="A81" s="37">
        <v>2007</v>
      </c>
      <c r="B81" s="69">
        <f t="shared" si="2"/>
        <v>6859.4070000000002</v>
      </c>
      <c r="C81" s="39">
        <v>43926929</v>
      </c>
      <c r="D81" s="35">
        <f t="shared" si="3"/>
        <v>0.15615494085643913</v>
      </c>
    </row>
    <row r="82" spans="1:4" x14ac:dyDescent="0.25">
      <c r="A82" s="38">
        <v>2008</v>
      </c>
      <c r="B82" s="70">
        <f t="shared" si="2"/>
        <v>6625.7110000000002</v>
      </c>
      <c r="C82" s="40">
        <v>44451147</v>
      </c>
      <c r="D82" s="35">
        <f t="shared" si="3"/>
        <v>0.14905601873445473</v>
      </c>
    </row>
    <row r="83" spans="1:4" x14ac:dyDescent="0.25">
      <c r="A83" s="37">
        <v>2009</v>
      </c>
      <c r="B83" s="69">
        <f t="shared" si="2"/>
        <v>6371.5590000000002</v>
      </c>
      <c r="C83" s="39">
        <v>44978832</v>
      </c>
      <c r="D83" s="35">
        <f t="shared" si="3"/>
        <v>0.14165683537536056</v>
      </c>
    </row>
    <row r="84" spans="1:4" x14ac:dyDescent="0.25">
      <c r="A84" s="38">
        <v>2010</v>
      </c>
      <c r="B84" s="70">
        <f t="shared" si="2"/>
        <v>2417.3989999999999</v>
      </c>
      <c r="C84" s="40">
        <v>45509584</v>
      </c>
      <c r="D84" s="35">
        <f t="shared" si="3"/>
        <v>5.3118459619406762E-2</v>
      </c>
    </row>
    <row r="85" spans="1:4" x14ac:dyDescent="0.25">
      <c r="A85" s="37">
        <v>2011</v>
      </c>
      <c r="B85" s="69">
        <f t="shared" si="2"/>
        <v>2584.27</v>
      </c>
      <c r="C85" s="39">
        <v>46044601</v>
      </c>
      <c r="D85" s="35">
        <f t="shared" si="3"/>
        <v>5.6125364187649268E-2</v>
      </c>
    </row>
    <row r="86" spans="1:4" x14ac:dyDescent="0.25">
      <c r="A86" s="38">
        <v>2012</v>
      </c>
      <c r="B86" s="70">
        <f t="shared" si="2"/>
        <v>2790.105</v>
      </c>
      <c r="C86" s="40">
        <v>46581823</v>
      </c>
      <c r="D86" s="35">
        <f t="shared" si="3"/>
        <v>5.9896861486077944E-2</v>
      </c>
    </row>
    <row r="87" spans="1:4" x14ac:dyDescent="0.25">
      <c r="A87" s="37">
        <v>2013</v>
      </c>
      <c r="B87" s="69">
        <f t="shared" si="2"/>
        <v>3056.1419999999998</v>
      </c>
      <c r="C87" s="39">
        <v>47121089</v>
      </c>
      <c r="D87" s="35">
        <f t="shared" si="3"/>
        <v>6.485720226032976E-2</v>
      </c>
    </row>
    <row r="88" spans="1:4" x14ac:dyDescent="0.25">
      <c r="A88" s="38">
        <v>2014</v>
      </c>
      <c r="B88" s="70">
        <f t="shared" si="2"/>
        <v>2954.5349999999999</v>
      </c>
      <c r="C88" s="40">
        <v>47661787</v>
      </c>
      <c r="D88" s="35">
        <f t="shared" si="3"/>
        <v>6.1989597662378874E-2</v>
      </c>
    </row>
    <row r="89" spans="1:4" x14ac:dyDescent="0.25">
      <c r="A89" s="37">
        <v>2015</v>
      </c>
      <c r="B89" s="69">
        <f t="shared" si="2"/>
        <v>2854.0149999999999</v>
      </c>
      <c r="C89" s="39">
        <v>48203405</v>
      </c>
      <c r="D89" s="35">
        <f t="shared" si="3"/>
        <v>5.9207746838631004E-2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61" t="s">
        <v>3</v>
      </c>
      <c r="B96" s="34" t="s">
        <v>123</v>
      </c>
      <c r="C96" s="34" t="s">
        <v>35</v>
      </c>
      <c r="D96" s="34" t="s">
        <v>38</v>
      </c>
    </row>
    <row r="97" spans="1:11" x14ac:dyDescent="0.25">
      <c r="A97" s="37">
        <v>1991</v>
      </c>
      <c r="B97" s="69">
        <v>1806.394</v>
      </c>
      <c r="C97" s="39">
        <v>253620000</v>
      </c>
      <c r="D97" s="68">
        <f>(B97/C97)*1000</f>
        <v>7.1224430249980288E-3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70">
        <v>3152.6379999999999</v>
      </c>
      <c r="C98" s="40">
        <v>256516000</v>
      </c>
      <c r="D98" s="68">
        <f t="shared" ref="D98:D121" si="4">(B98/C98)*1000</f>
        <v>1.2290219713390197E-2</v>
      </c>
    </row>
    <row r="99" spans="1:11" x14ac:dyDescent="0.25">
      <c r="A99" s="37">
        <v>1993</v>
      </c>
      <c r="B99" s="69">
        <v>3215.2869999999998</v>
      </c>
      <c r="C99" s="39">
        <v>259131000</v>
      </c>
      <c r="D99" s="68">
        <f t="shared" si="4"/>
        <v>1.2407959680624858E-2</v>
      </c>
    </row>
    <row r="100" spans="1:11" x14ac:dyDescent="0.25">
      <c r="A100" s="38">
        <v>1994</v>
      </c>
      <c r="B100" s="70">
        <v>4474.9809999999998</v>
      </c>
      <c r="C100" s="40">
        <v>264061000</v>
      </c>
      <c r="D100" s="68">
        <f t="shared" si="4"/>
        <v>1.6946769875142483E-2</v>
      </c>
    </row>
    <row r="101" spans="1:11" x14ac:dyDescent="0.25">
      <c r="A101" s="37">
        <v>1995</v>
      </c>
      <c r="B101" s="69">
        <v>3992.277</v>
      </c>
      <c r="C101" s="39">
        <v>266398000</v>
      </c>
      <c r="D101" s="68">
        <f t="shared" si="4"/>
        <v>1.4986137283312937E-2</v>
      </c>
    </row>
    <row r="102" spans="1:11" x14ac:dyDescent="0.25">
      <c r="A102" s="38">
        <v>1996</v>
      </c>
      <c r="B102" s="70">
        <v>5379.8019999999997</v>
      </c>
      <c r="C102" s="40">
        <v>268930000</v>
      </c>
      <c r="D102" s="68">
        <f t="shared" si="4"/>
        <v>2.0004469564570707E-2</v>
      </c>
    </row>
    <row r="103" spans="1:11" x14ac:dyDescent="0.25">
      <c r="A103" s="37">
        <v>1997</v>
      </c>
      <c r="B103" s="69">
        <v>3821.105</v>
      </c>
      <c r="C103" s="39">
        <v>271387000</v>
      </c>
      <c r="D103" s="68">
        <f t="shared" si="4"/>
        <v>1.4079911712793908E-2</v>
      </c>
    </row>
    <row r="104" spans="1:11" x14ac:dyDescent="0.25">
      <c r="A104" s="38">
        <v>1998</v>
      </c>
      <c r="B104" s="70">
        <v>3538.69</v>
      </c>
      <c r="C104" s="40">
        <v>271584000</v>
      </c>
      <c r="D104" s="68">
        <f t="shared" si="4"/>
        <v>1.3029817662307059E-2</v>
      </c>
    </row>
    <row r="105" spans="1:11" x14ac:dyDescent="0.25">
      <c r="A105" s="37">
        <v>1999</v>
      </c>
      <c r="B105" s="69">
        <v>3328.6469999999999</v>
      </c>
      <c r="C105" s="39">
        <v>274024000</v>
      </c>
      <c r="D105" s="68">
        <f t="shared" si="4"/>
        <v>1.2147282719761772E-2</v>
      </c>
    </row>
    <row r="106" spans="1:11" x14ac:dyDescent="0.25">
      <c r="A106" s="38">
        <v>2000</v>
      </c>
      <c r="B106" s="70">
        <v>2423.2669999999998</v>
      </c>
      <c r="C106" s="40">
        <v>284968955</v>
      </c>
      <c r="D106" s="68">
        <f t="shared" si="4"/>
        <v>8.5036175256353805E-3</v>
      </c>
    </row>
    <row r="107" spans="1:11" x14ac:dyDescent="0.25">
      <c r="A107" s="37">
        <v>2001</v>
      </c>
      <c r="B107" s="69">
        <v>3458.69</v>
      </c>
      <c r="C107" s="39">
        <v>287625193</v>
      </c>
      <c r="D107" s="68">
        <f t="shared" si="4"/>
        <v>1.2024989758112043E-2</v>
      </c>
    </row>
    <row r="108" spans="1:11" x14ac:dyDescent="0.25">
      <c r="A108" s="38">
        <v>2002</v>
      </c>
      <c r="B108" s="70">
        <v>3495.8850000000002</v>
      </c>
      <c r="C108" s="40">
        <v>290107933</v>
      </c>
      <c r="D108" s="68">
        <f t="shared" si="4"/>
        <v>1.205029095154044E-2</v>
      </c>
    </row>
    <row r="109" spans="1:11" x14ac:dyDescent="0.25">
      <c r="A109" s="37">
        <v>2003</v>
      </c>
      <c r="B109" s="69">
        <v>4221.4390000000003</v>
      </c>
      <c r="C109" s="39">
        <v>292805298</v>
      </c>
      <c r="D109" s="68">
        <f t="shared" si="4"/>
        <v>1.4417222054499848E-2</v>
      </c>
    </row>
    <row r="110" spans="1:11" x14ac:dyDescent="0.25">
      <c r="A110" s="38">
        <v>2004</v>
      </c>
      <c r="B110" s="70">
        <v>2268.058</v>
      </c>
      <c r="C110" s="40">
        <v>295516599</v>
      </c>
      <c r="D110" s="68">
        <f t="shared" si="4"/>
        <v>7.6748920624929102E-3</v>
      </c>
    </row>
    <row r="111" spans="1:11" x14ac:dyDescent="0.25">
      <c r="A111" s="37">
        <v>2005</v>
      </c>
      <c r="B111" s="69">
        <v>3775.5949999999998</v>
      </c>
      <c r="C111" s="39">
        <v>298379912</v>
      </c>
      <c r="D111" s="68">
        <f t="shared" si="4"/>
        <v>1.2653650088884E-2</v>
      </c>
    </row>
    <row r="112" spans="1:11" x14ac:dyDescent="0.25">
      <c r="A112" s="38">
        <v>2006</v>
      </c>
      <c r="B112" s="70">
        <v>3769.5279999999998</v>
      </c>
      <c r="C112" s="40">
        <v>301231207</v>
      </c>
      <c r="D112" s="68">
        <f t="shared" si="4"/>
        <v>1.2513736666068599E-2</v>
      </c>
    </row>
    <row r="113" spans="1:11" x14ac:dyDescent="0.25">
      <c r="A113" s="37">
        <v>2007</v>
      </c>
      <c r="B113" s="69">
        <v>4219.6670000000004</v>
      </c>
      <c r="C113" s="39">
        <v>304093966</v>
      </c>
      <c r="D113" s="68">
        <f t="shared" si="4"/>
        <v>1.3876194439188578E-2</v>
      </c>
    </row>
    <row r="114" spans="1:11" x14ac:dyDescent="0.25">
      <c r="A114" s="38">
        <v>2008</v>
      </c>
      <c r="B114" s="70">
        <v>4908.3850000000002</v>
      </c>
      <c r="C114" s="40">
        <v>306771529</v>
      </c>
      <c r="D114" s="68">
        <f t="shared" si="4"/>
        <v>1.6000132137425307E-2</v>
      </c>
    </row>
    <row r="115" spans="1:11" x14ac:dyDescent="0.25">
      <c r="A115" s="37">
        <v>2009</v>
      </c>
      <c r="B115" s="69">
        <v>4795.9279999999999</v>
      </c>
      <c r="C115" s="39">
        <v>308745538</v>
      </c>
      <c r="D115" s="68">
        <f t="shared" si="4"/>
        <v>1.5533594529226849E-2</v>
      </c>
    </row>
    <row r="116" spans="1:11" x14ac:dyDescent="0.25">
      <c r="A116" s="38">
        <v>2010</v>
      </c>
      <c r="B116" s="70">
        <v>912.50599999999997</v>
      </c>
      <c r="C116" s="40">
        <v>309347057</v>
      </c>
      <c r="D116" s="68">
        <f t="shared" si="4"/>
        <v>2.9497807700171524E-3</v>
      </c>
    </row>
    <row r="117" spans="1:11" x14ac:dyDescent="0.25">
      <c r="A117" s="37">
        <v>2011</v>
      </c>
      <c r="B117" s="69">
        <v>1611.5440000000001</v>
      </c>
      <c r="C117" s="39">
        <v>311721632</v>
      </c>
      <c r="D117" s="68">
        <f t="shared" si="4"/>
        <v>5.1698176660386541E-3</v>
      </c>
    </row>
    <row r="118" spans="1:11" x14ac:dyDescent="0.25">
      <c r="A118" s="38">
        <v>2012</v>
      </c>
      <c r="B118" s="70">
        <v>1734.827</v>
      </c>
      <c r="C118" s="40">
        <v>314112078</v>
      </c>
      <c r="D118" s="68">
        <f t="shared" si="4"/>
        <v>5.5229554082921956E-3</v>
      </c>
    </row>
    <row r="119" spans="1:11" x14ac:dyDescent="0.25">
      <c r="A119" s="37">
        <v>2013</v>
      </c>
      <c r="B119" s="69">
        <v>1652.723</v>
      </c>
      <c r="C119" s="39">
        <v>316497531</v>
      </c>
      <c r="D119" s="68">
        <f t="shared" si="4"/>
        <v>5.2219143535751624E-3</v>
      </c>
    </row>
    <row r="120" spans="1:11" x14ac:dyDescent="0.25">
      <c r="A120" s="38">
        <v>2014</v>
      </c>
      <c r="B120" s="70">
        <v>1246.8779999999999</v>
      </c>
      <c r="C120" s="40">
        <v>318857056</v>
      </c>
      <c r="D120" s="68">
        <f t="shared" si="4"/>
        <v>3.910460742634468E-3</v>
      </c>
    </row>
    <row r="121" spans="1:11" x14ac:dyDescent="0.25">
      <c r="A121" s="37">
        <v>2015</v>
      </c>
      <c r="B121" s="69">
        <v>520.46799999999996</v>
      </c>
      <c r="C121" s="39">
        <v>321418820</v>
      </c>
      <c r="D121" s="68">
        <f t="shared" si="4"/>
        <v>1.619282903222655E-3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</row>
    <row r="126" spans="1:11" ht="60" x14ac:dyDescent="0.25">
      <c r="A126" s="61" t="s">
        <v>3</v>
      </c>
      <c r="B126" s="34" t="s">
        <v>130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>
        <v>734.10299999999995</v>
      </c>
      <c r="C127" s="39">
        <v>253620000</v>
      </c>
      <c r="D127" s="68">
        <f>(B127/C127)*1000</f>
        <v>2.8944996451383959E-3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70">
        <v>1414.192</v>
      </c>
      <c r="C128" s="40">
        <v>256516000</v>
      </c>
      <c r="D128" s="68">
        <f t="shared" ref="D128:D151" si="5">(B128/C128)*1000</f>
        <v>5.5130752077843098E-3</v>
      </c>
    </row>
    <row r="129" spans="1:4" x14ac:dyDescent="0.25">
      <c r="A129" s="37">
        <v>1993</v>
      </c>
      <c r="B129" s="69">
        <v>2008.502</v>
      </c>
      <c r="C129" s="39">
        <v>259131000</v>
      </c>
      <c r="D129" s="68">
        <f t="shared" si="5"/>
        <v>7.7509136305575176E-3</v>
      </c>
    </row>
    <row r="130" spans="1:4" x14ac:dyDescent="0.25">
      <c r="A130" s="38">
        <v>1994</v>
      </c>
      <c r="B130" s="70">
        <v>2032.5329999999999</v>
      </c>
      <c r="C130" s="40">
        <v>264061000</v>
      </c>
      <c r="D130" s="68">
        <f t="shared" si="5"/>
        <v>7.6972101143296433E-3</v>
      </c>
    </row>
    <row r="131" spans="1:4" x14ac:dyDescent="0.25">
      <c r="A131" s="37">
        <v>1995</v>
      </c>
      <c r="B131" s="69">
        <v>2091.5880000000002</v>
      </c>
      <c r="C131" s="39">
        <v>266398000</v>
      </c>
      <c r="D131" s="68">
        <f t="shared" si="5"/>
        <v>7.8513652504898692E-3</v>
      </c>
    </row>
    <row r="132" spans="1:4" x14ac:dyDescent="0.25">
      <c r="A132" s="38">
        <v>1996</v>
      </c>
      <c r="B132" s="70">
        <v>1953.7819999999999</v>
      </c>
      <c r="C132" s="40">
        <v>268930000</v>
      </c>
      <c r="D132" s="68">
        <f t="shared" si="5"/>
        <v>7.2650206373405714E-3</v>
      </c>
    </row>
    <row r="133" spans="1:4" x14ac:dyDescent="0.25">
      <c r="A133" s="37">
        <v>1997</v>
      </c>
      <c r="B133" s="69">
        <v>1089.6410000000001</v>
      </c>
      <c r="C133" s="39">
        <v>271387000</v>
      </c>
      <c r="D133" s="68">
        <f t="shared" si="5"/>
        <v>4.0150817835784324E-3</v>
      </c>
    </row>
    <row r="134" spans="1:4" x14ac:dyDescent="0.25">
      <c r="A134" s="38">
        <v>1998</v>
      </c>
      <c r="B134" s="70">
        <v>943.56700000000001</v>
      </c>
      <c r="C134" s="40">
        <v>271584000</v>
      </c>
      <c r="D134" s="68">
        <f t="shared" si="5"/>
        <v>3.4743099740780019E-3</v>
      </c>
    </row>
    <row r="135" spans="1:4" x14ac:dyDescent="0.25">
      <c r="A135" s="37">
        <v>1999</v>
      </c>
      <c r="B135" s="69">
        <v>1843.0740000000001</v>
      </c>
      <c r="C135" s="39">
        <v>274024000</v>
      </c>
      <c r="D135" s="68">
        <f t="shared" si="5"/>
        <v>6.7259583102210032E-3</v>
      </c>
    </row>
    <row r="136" spans="1:4" x14ac:dyDescent="0.25">
      <c r="A136" s="38">
        <v>2000</v>
      </c>
      <c r="B136" s="70">
        <v>1791.836</v>
      </c>
      <c r="C136" s="40">
        <v>284968955</v>
      </c>
      <c r="D136" s="68">
        <f t="shared" si="5"/>
        <v>6.2878287917362786E-3</v>
      </c>
    </row>
    <row r="137" spans="1:4" x14ac:dyDescent="0.25">
      <c r="A137" s="37">
        <v>2001</v>
      </c>
      <c r="B137" s="69">
        <v>1957.27</v>
      </c>
      <c r="C137" s="39">
        <v>287625193</v>
      </c>
      <c r="D137" s="68">
        <f t="shared" si="5"/>
        <v>6.8049324177246184E-3</v>
      </c>
    </row>
    <row r="138" spans="1:4" x14ac:dyDescent="0.25">
      <c r="A138" s="38">
        <v>2002</v>
      </c>
      <c r="B138" s="70">
        <v>1236.923</v>
      </c>
      <c r="C138" s="40">
        <v>290107933</v>
      </c>
      <c r="D138" s="68">
        <f t="shared" si="5"/>
        <v>4.2636648615879107E-3</v>
      </c>
    </row>
    <row r="139" spans="1:4" x14ac:dyDescent="0.25">
      <c r="A139" s="37">
        <v>2003</v>
      </c>
      <c r="B139" s="69">
        <v>1441.682</v>
      </c>
      <c r="C139" s="39">
        <v>292805298</v>
      </c>
      <c r="D139" s="68">
        <f t="shared" si="5"/>
        <v>4.9236882318980449E-3</v>
      </c>
    </row>
    <row r="140" spans="1:4" x14ac:dyDescent="0.25">
      <c r="A140" s="38">
        <v>2004</v>
      </c>
      <c r="B140" s="70">
        <v>2121.6509999999998</v>
      </c>
      <c r="C140" s="40">
        <v>295516599</v>
      </c>
      <c r="D140" s="68">
        <f t="shared" si="5"/>
        <v>7.1794647311841861E-3</v>
      </c>
    </row>
    <row r="141" spans="1:4" x14ac:dyDescent="0.25">
      <c r="A141" s="37">
        <v>2005</v>
      </c>
      <c r="B141" s="69">
        <v>3450.0210000000002</v>
      </c>
      <c r="C141" s="39">
        <v>298379912</v>
      </c>
      <c r="D141" s="68">
        <f t="shared" si="5"/>
        <v>1.1562510950804223E-2</v>
      </c>
    </row>
    <row r="142" spans="1:4" x14ac:dyDescent="0.25">
      <c r="A142" s="38">
        <v>2006</v>
      </c>
      <c r="B142" s="70">
        <v>1953.683</v>
      </c>
      <c r="C142" s="40">
        <v>301231207</v>
      </c>
      <c r="D142" s="68">
        <f t="shared" si="5"/>
        <v>6.4856593692830767E-3</v>
      </c>
    </row>
    <row r="143" spans="1:4" x14ac:dyDescent="0.25">
      <c r="A143" s="37">
        <v>2007</v>
      </c>
      <c r="B143" s="69">
        <v>2639.74</v>
      </c>
      <c r="C143" s="39">
        <v>304093966</v>
      </c>
      <c r="D143" s="68">
        <f t="shared" si="5"/>
        <v>8.6806720788402611E-3</v>
      </c>
    </row>
    <row r="144" spans="1:4" x14ac:dyDescent="0.25">
      <c r="A144" s="38">
        <v>2008</v>
      </c>
      <c r="B144" s="70">
        <v>1717.326</v>
      </c>
      <c r="C144" s="40">
        <v>306771529</v>
      </c>
      <c r="D144" s="68">
        <f t="shared" si="5"/>
        <v>5.5980618722932399E-3</v>
      </c>
    </row>
    <row r="145" spans="1:10" x14ac:dyDescent="0.25">
      <c r="A145" s="37">
        <v>2009</v>
      </c>
      <c r="B145" s="69">
        <v>1575.6310000000001</v>
      </c>
      <c r="C145" s="39">
        <v>308745538</v>
      </c>
      <c r="D145" s="68">
        <f t="shared" si="5"/>
        <v>5.1033320520408624E-3</v>
      </c>
    </row>
    <row r="146" spans="1:10" x14ac:dyDescent="0.25">
      <c r="A146" s="38">
        <v>2010</v>
      </c>
      <c r="B146" s="70">
        <v>1504.893</v>
      </c>
      <c r="C146" s="40">
        <v>309347057</v>
      </c>
      <c r="D146" s="68">
        <f t="shared" si="5"/>
        <v>4.8647399933079045E-3</v>
      </c>
    </row>
    <row r="147" spans="1:10" x14ac:dyDescent="0.25">
      <c r="A147" s="37">
        <v>2011</v>
      </c>
      <c r="B147" s="69">
        <v>972.726</v>
      </c>
      <c r="C147" s="39">
        <v>311721632</v>
      </c>
      <c r="D147" s="68">
        <f t="shared" si="5"/>
        <v>3.1204956606925502E-3</v>
      </c>
    </row>
    <row r="148" spans="1:10" x14ac:dyDescent="0.25">
      <c r="A148" s="38">
        <v>2012</v>
      </c>
      <c r="B148" s="70">
        <v>1055.278</v>
      </c>
      <c r="C148" s="40">
        <v>314112078</v>
      </c>
      <c r="D148" s="68">
        <f t="shared" si="5"/>
        <v>3.3595588132717394E-3</v>
      </c>
    </row>
    <row r="149" spans="1:10" x14ac:dyDescent="0.25">
      <c r="A149" s="37">
        <v>2013</v>
      </c>
      <c r="B149" s="69">
        <v>1403.4190000000001</v>
      </c>
      <c r="C149" s="39">
        <v>316497531</v>
      </c>
      <c r="D149" s="68">
        <f t="shared" si="5"/>
        <v>4.4342178454466362E-3</v>
      </c>
    </row>
    <row r="150" spans="1:10" x14ac:dyDescent="0.25">
      <c r="A150" s="38">
        <v>2014</v>
      </c>
      <c r="B150" s="70">
        <v>1707.6569999999999</v>
      </c>
      <c r="C150" s="40">
        <v>318857056</v>
      </c>
      <c r="D150" s="68">
        <f t="shared" si="5"/>
        <v>5.3555565663881682E-3</v>
      </c>
    </row>
    <row r="151" spans="1:10" x14ac:dyDescent="0.25">
      <c r="A151" s="37">
        <v>2015</v>
      </c>
      <c r="B151" s="69">
        <v>2333.547</v>
      </c>
      <c r="C151" s="39">
        <v>321418820</v>
      </c>
      <c r="D151" s="68">
        <f t="shared" si="5"/>
        <v>7.2601442566430927E-3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61" t="s">
        <v>3</v>
      </c>
      <c r="B155" s="34" t="s">
        <v>131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69">
        <f>B97+B127</f>
        <v>2540.4969999999998</v>
      </c>
      <c r="C156" s="39">
        <v>253620000</v>
      </c>
      <c r="D156" s="68">
        <f>(B156/C156)*1000</f>
        <v>1.0016942670136423E-2</v>
      </c>
    </row>
    <row r="157" spans="1:10" x14ac:dyDescent="0.25">
      <c r="A157" s="38">
        <v>1992</v>
      </c>
      <c r="B157" s="70">
        <f t="shared" ref="B157:B180" si="6">B98+B128</f>
        <v>4566.83</v>
      </c>
      <c r="C157" s="40">
        <v>256516000</v>
      </c>
      <c r="D157" s="68">
        <f t="shared" ref="D157:D180" si="7">(B157/C157)*1000</f>
        <v>1.7803294921174505E-2</v>
      </c>
    </row>
    <row r="158" spans="1:10" x14ac:dyDescent="0.25">
      <c r="A158" s="37">
        <v>1993</v>
      </c>
      <c r="B158" s="69">
        <f t="shared" si="6"/>
        <v>5223.7889999999998</v>
      </c>
      <c r="C158" s="39">
        <v>259131000</v>
      </c>
      <c r="D158" s="68">
        <f t="shared" si="7"/>
        <v>2.0158873311182376E-2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70">
        <f t="shared" si="6"/>
        <v>6507.5139999999992</v>
      </c>
      <c r="C159" s="40">
        <v>264061000</v>
      </c>
      <c r="D159" s="68">
        <f t="shared" si="7"/>
        <v>2.4643979989472129E-2</v>
      </c>
    </row>
    <row r="160" spans="1:10" x14ac:dyDescent="0.25">
      <c r="A160" s="37">
        <v>1995</v>
      </c>
      <c r="B160" s="69">
        <f t="shared" si="6"/>
        <v>6083.8649999999998</v>
      </c>
      <c r="C160" s="39">
        <v>266398000</v>
      </c>
      <c r="D160" s="68">
        <f t="shared" si="7"/>
        <v>2.2837502533802803E-2</v>
      </c>
    </row>
    <row r="161" spans="1:4" x14ac:dyDescent="0.25">
      <c r="A161" s="38">
        <v>1996</v>
      </c>
      <c r="B161" s="70">
        <f t="shared" si="6"/>
        <v>7333.5839999999998</v>
      </c>
      <c r="C161" s="40">
        <v>268930000</v>
      </c>
      <c r="D161" s="68">
        <f t="shared" si="7"/>
        <v>2.726949020191128E-2</v>
      </c>
    </row>
    <row r="162" spans="1:4" x14ac:dyDescent="0.25">
      <c r="A162" s="37">
        <v>1997</v>
      </c>
      <c r="B162" s="69">
        <f t="shared" si="6"/>
        <v>4910.7460000000001</v>
      </c>
      <c r="C162" s="39">
        <v>271387000</v>
      </c>
      <c r="D162" s="68">
        <f t="shared" si="7"/>
        <v>1.8094993496372339E-2</v>
      </c>
    </row>
    <row r="163" spans="1:4" x14ac:dyDescent="0.25">
      <c r="A163" s="38">
        <v>1998</v>
      </c>
      <c r="B163" s="70">
        <f t="shared" si="6"/>
        <v>4482.2569999999996</v>
      </c>
      <c r="C163" s="40">
        <v>271584000</v>
      </c>
      <c r="D163" s="68">
        <f t="shared" si="7"/>
        <v>1.650412763638506E-2</v>
      </c>
    </row>
    <row r="164" spans="1:4" x14ac:dyDescent="0.25">
      <c r="A164" s="37">
        <v>1999</v>
      </c>
      <c r="B164" s="69">
        <f t="shared" si="6"/>
        <v>5171.7209999999995</v>
      </c>
      <c r="C164" s="39">
        <v>274024000</v>
      </c>
      <c r="D164" s="68">
        <f t="shared" si="7"/>
        <v>1.8873241029982772E-2</v>
      </c>
    </row>
    <row r="165" spans="1:4" x14ac:dyDescent="0.25">
      <c r="A165" s="38">
        <v>2000</v>
      </c>
      <c r="B165" s="70">
        <f t="shared" si="6"/>
        <v>4215.1030000000001</v>
      </c>
      <c r="C165" s="40">
        <v>284968955</v>
      </c>
      <c r="D165" s="68">
        <f t="shared" si="7"/>
        <v>1.479144631737166E-2</v>
      </c>
    </row>
    <row r="166" spans="1:4" x14ac:dyDescent="0.25">
      <c r="A166" s="37">
        <v>2001</v>
      </c>
      <c r="B166" s="69">
        <f t="shared" si="6"/>
        <v>5415.96</v>
      </c>
      <c r="C166" s="39">
        <v>287625193</v>
      </c>
      <c r="D166" s="68">
        <f t="shared" si="7"/>
        <v>1.882992217583666E-2</v>
      </c>
    </row>
    <row r="167" spans="1:4" x14ac:dyDescent="0.25">
      <c r="A167" s="38">
        <v>2002</v>
      </c>
      <c r="B167" s="70">
        <f t="shared" si="6"/>
        <v>4732.808</v>
      </c>
      <c r="C167" s="40">
        <v>290107933</v>
      </c>
      <c r="D167" s="68">
        <f t="shared" si="7"/>
        <v>1.6313955813128351E-2</v>
      </c>
    </row>
    <row r="168" spans="1:4" x14ac:dyDescent="0.25">
      <c r="A168" s="37">
        <v>2003</v>
      </c>
      <c r="B168" s="69">
        <f t="shared" si="6"/>
        <v>5663.1210000000001</v>
      </c>
      <c r="C168" s="39">
        <v>292805298</v>
      </c>
      <c r="D168" s="68">
        <f t="shared" si="7"/>
        <v>1.9340910286397894E-2</v>
      </c>
    </row>
    <row r="169" spans="1:4" x14ac:dyDescent="0.25">
      <c r="A169" s="38">
        <v>2004</v>
      </c>
      <c r="B169" s="70">
        <f t="shared" si="6"/>
        <v>4389.7089999999998</v>
      </c>
      <c r="C169" s="40">
        <v>295516599</v>
      </c>
      <c r="D169" s="68">
        <f t="shared" si="7"/>
        <v>1.4854356793677094E-2</v>
      </c>
    </row>
    <row r="170" spans="1:4" x14ac:dyDescent="0.25">
      <c r="A170" s="37">
        <v>2005</v>
      </c>
      <c r="B170" s="69">
        <f t="shared" si="6"/>
        <v>7225.616</v>
      </c>
      <c r="C170" s="39">
        <v>298379912</v>
      </c>
      <c r="D170" s="68">
        <f t="shared" si="7"/>
        <v>2.4216161039688221E-2</v>
      </c>
    </row>
    <row r="171" spans="1:4" x14ac:dyDescent="0.25">
      <c r="A171" s="38">
        <v>2006</v>
      </c>
      <c r="B171" s="70">
        <f t="shared" si="6"/>
        <v>5723.2109999999993</v>
      </c>
      <c r="C171" s="40">
        <v>301231207</v>
      </c>
      <c r="D171" s="68">
        <f t="shared" si="7"/>
        <v>1.8999396035351675E-2</v>
      </c>
    </row>
    <row r="172" spans="1:4" x14ac:dyDescent="0.25">
      <c r="A172" s="37">
        <v>2007</v>
      </c>
      <c r="B172" s="69">
        <f t="shared" si="6"/>
        <v>6859.4070000000002</v>
      </c>
      <c r="C172" s="39">
        <v>304093966</v>
      </c>
      <c r="D172" s="68">
        <f t="shared" si="7"/>
        <v>2.2556866518028837E-2</v>
      </c>
    </row>
    <row r="173" spans="1:4" x14ac:dyDescent="0.25">
      <c r="A173" s="38">
        <v>2008</v>
      </c>
      <c r="B173" s="70">
        <f t="shared" si="6"/>
        <v>6625.7110000000002</v>
      </c>
      <c r="C173" s="40">
        <v>306771529</v>
      </c>
      <c r="D173" s="68">
        <f t="shared" si="7"/>
        <v>2.159819400971855E-2</v>
      </c>
    </row>
    <row r="174" spans="1:4" x14ac:dyDescent="0.25">
      <c r="A174" s="37">
        <v>2009</v>
      </c>
      <c r="B174" s="69">
        <f t="shared" si="6"/>
        <v>6371.5590000000002</v>
      </c>
      <c r="C174" s="39">
        <v>308745538</v>
      </c>
      <c r="D174" s="68">
        <f t="shared" si="7"/>
        <v>2.0636926581267711E-2</v>
      </c>
    </row>
    <row r="175" spans="1:4" x14ac:dyDescent="0.25">
      <c r="A175" s="38">
        <v>2010</v>
      </c>
      <c r="B175" s="70">
        <f t="shared" si="6"/>
        <v>2417.3989999999999</v>
      </c>
      <c r="C175" s="40">
        <v>309347057</v>
      </c>
      <c r="D175" s="68">
        <f t="shared" si="7"/>
        <v>7.8145207633250578E-3</v>
      </c>
    </row>
    <row r="176" spans="1:4" x14ac:dyDescent="0.25">
      <c r="A176" s="37">
        <v>2011</v>
      </c>
      <c r="B176" s="69">
        <f t="shared" si="6"/>
        <v>2584.27</v>
      </c>
      <c r="C176" s="39">
        <v>311721632</v>
      </c>
      <c r="D176" s="68">
        <f t="shared" si="7"/>
        <v>8.2903133267312034E-3</v>
      </c>
    </row>
    <row r="177" spans="1:4" x14ac:dyDescent="0.25">
      <c r="A177" s="38">
        <v>2012</v>
      </c>
      <c r="B177" s="70">
        <f t="shared" si="6"/>
        <v>2790.105</v>
      </c>
      <c r="C177" s="40">
        <v>314112078</v>
      </c>
      <c r="D177" s="68">
        <f t="shared" si="7"/>
        <v>8.8825142215639349E-3</v>
      </c>
    </row>
    <row r="178" spans="1:4" x14ac:dyDescent="0.25">
      <c r="A178" s="37">
        <v>2013</v>
      </c>
      <c r="B178" s="69">
        <f t="shared" si="6"/>
        <v>3056.1419999999998</v>
      </c>
      <c r="C178" s="39">
        <v>316497531</v>
      </c>
      <c r="D178" s="68">
        <f t="shared" si="7"/>
        <v>9.6561321990217986E-3</v>
      </c>
    </row>
    <row r="179" spans="1:4" x14ac:dyDescent="0.25">
      <c r="A179" s="38">
        <v>2014</v>
      </c>
      <c r="B179" s="70">
        <f t="shared" si="6"/>
        <v>2954.5349999999999</v>
      </c>
      <c r="C179" s="40">
        <v>318857056</v>
      </c>
      <c r="D179" s="68">
        <f t="shared" si="7"/>
        <v>9.2660173090226353E-3</v>
      </c>
    </row>
    <row r="180" spans="1:4" x14ac:dyDescent="0.25">
      <c r="A180" s="37">
        <v>2015</v>
      </c>
      <c r="B180" s="69">
        <f t="shared" si="6"/>
        <v>2854.0149999999999</v>
      </c>
      <c r="C180" s="39">
        <v>321418820</v>
      </c>
      <c r="D180" s="68">
        <f t="shared" si="7"/>
        <v>8.8794271598657479E-3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154" zoomScale="80" zoomScaleNormal="80" workbookViewId="0">
      <selection activeCell="D156" sqref="D156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30</v>
      </c>
    </row>
    <row r="4" spans="1:10" x14ac:dyDescent="0.25">
      <c r="A4" s="134" t="s">
        <v>31</v>
      </c>
      <c r="B4" s="134"/>
      <c r="C4" s="134"/>
      <c r="D4" s="134"/>
    </row>
    <row r="5" spans="1:10" ht="60" x14ac:dyDescent="0.25">
      <c r="A5" s="120" t="s">
        <v>3</v>
      </c>
      <c r="B5" s="34" t="s">
        <v>121</v>
      </c>
      <c r="C5" s="34" t="s">
        <v>68</v>
      </c>
      <c r="D5" s="34" t="s">
        <v>38</v>
      </c>
    </row>
    <row r="6" spans="1:10" x14ac:dyDescent="0.25">
      <c r="A6" s="37">
        <v>1991</v>
      </c>
      <c r="B6" s="69">
        <f>'Export 09'!B2</f>
        <v>1.0422279999999999</v>
      </c>
      <c r="C6" s="39">
        <v>34830570</v>
      </c>
      <c r="D6" s="81">
        <f t="shared" ref="D6:D30" si="0">(B6*1000000/C6)</f>
        <v>2.9922794832240755E-2</v>
      </c>
      <c r="F6" s="7" t="s">
        <v>69</v>
      </c>
      <c r="I6" s="1" t="s">
        <v>10</v>
      </c>
      <c r="J6" s="7" t="s">
        <v>70</v>
      </c>
    </row>
    <row r="7" spans="1:10" x14ac:dyDescent="0.25">
      <c r="A7" s="38">
        <v>1992</v>
      </c>
      <c r="B7" s="69">
        <f>'Export 09'!B3</f>
        <v>1.5849740000000001</v>
      </c>
      <c r="C7" s="40">
        <v>35520940</v>
      </c>
      <c r="D7" s="81">
        <f t="shared" si="0"/>
        <v>4.4620834921598358E-2</v>
      </c>
    </row>
    <row r="8" spans="1:10" x14ac:dyDescent="0.25">
      <c r="A8" s="37">
        <v>1993</v>
      </c>
      <c r="B8" s="69">
        <f>'Export 09'!B4</f>
        <v>1.24962</v>
      </c>
      <c r="C8" s="39">
        <v>36207108</v>
      </c>
      <c r="D8" s="81">
        <f t="shared" si="0"/>
        <v>3.4513112729135945E-2</v>
      </c>
    </row>
    <row r="9" spans="1:10" x14ac:dyDescent="0.25">
      <c r="A9" s="38">
        <v>1994</v>
      </c>
      <c r="B9" s="69">
        <f>'Export 09'!B5</f>
        <v>2.041169</v>
      </c>
      <c r="C9" s="40">
        <v>36853905</v>
      </c>
      <c r="D9" s="81">
        <f t="shared" si="0"/>
        <v>5.5385419808294402E-2</v>
      </c>
    </row>
    <row r="10" spans="1:10" x14ac:dyDescent="0.25">
      <c r="A10" s="37">
        <v>1995</v>
      </c>
      <c r="B10" s="69">
        <f>'Export 09'!B6</f>
        <v>1.4371849999999999</v>
      </c>
      <c r="C10" s="39">
        <v>37472184</v>
      </c>
      <c r="D10" s="81">
        <f t="shared" si="0"/>
        <v>3.835338233821653E-2</v>
      </c>
    </row>
    <row r="11" spans="1:10" x14ac:dyDescent="0.25">
      <c r="A11" s="38">
        <v>1996</v>
      </c>
      <c r="B11" s="69">
        <f>'Export 09'!B7</f>
        <v>1.515906</v>
      </c>
      <c r="C11" s="40">
        <v>38068050</v>
      </c>
      <c r="D11" s="81">
        <f t="shared" si="0"/>
        <v>3.9820952215834537E-2</v>
      </c>
    </row>
    <row r="12" spans="1:10" x14ac:dyDescent="0.25">
      <c r="A12" s="37">
        <v>1997</v>
      </c>
      <c r="B12" s="69">
        <f>'Export 09'!B8</f>
        <v>1.349143</v>
      </c>
      <c r="C12" s="39">
        <v>38635691</v>
      </c>
      <c r="D12" s="81">
        <f t="shared" si="0"/>
        <v>3.4919603223868834E-2</v>
      </c>
    </row>
    <row r="13" spans="1:10" x14ac:dyDescent="0.25">
      <c r="A13" s="38">
        <v>1998</v>
      </c>
      <c r="B13" s="69">
        <f>'Export 09'!B9</f>
        <v>1.042678</v>
      </c>
      <c r="C13" s="40">
        <v>39184456</v>
      </c>
      <c r="D13" s="81">
        <f t="shared" si="0"/>
        <v>2.660948004484227E-2</v>
      </c>
    </row>
    <row r="14" spans="1:10" x14ac:dyDescent="0.25">
      <c r="A14" s="37">
        <v>1999</v>
      </c>
      <c r="B14" s="69">
        <f>'Export 09'!B10</f>
        <v>1.478</v>
      </c>
      <c r="C14" s="39">
        <v>39730798</v>
      </c>
      <c r="D14" s="81">
        <f t="shared" si="0"/>
        <v>3.7200360284734273E-2</v>
      </c>
    </row>
    <row r="15" spans="1:10" x14ac:dyDescent="0.25">
      <c r="A15" s="38">
        <v>2000</v>
      </c>
      <c r="B15" s="69">
        <f>'Export 09'!B11</f>
        <v>1.979636</v>
      </c>
      <c r="C15" s="40">
        <v>40295563</v>
      </c>
      <c r="D15" s="81">
        <f t="shared" si="0"/>
        <v>4.9127890333732278E-2</v>
      </c>
    </row>
    <row r="16" spans="1:10" x14ac:dyDescent="0.25">
      <c r="A16" s="37">
        <v>2001</v>
      </c>
      <c r="B16" s="69">
        <f>'Export 09'!B12</f>
        <v>4.2792539999999999</v>
      </c>
      <c r="C16" s="39">
        <v>40813541</v>
      </c>
      <c r="D16" s="81">
        <f t="shared" si="0"/>
        <v>0.10484887846413522</v>
      </c>
    </row>
    <row r="17" spans="1:4" x14ac:dyDescent="0.25">
      <c r="A17" s="38">
        <v>2002</v>
      </c>
      <c r="B17" s="69">
        <f>'Export 09'!B13</f>
        <v>3.681295</v>
      </c>
      <c r="C17" s="40">
        <v>41328824</v>
      </c>
      <c r="D17" s="81">
        <f t="shared" si="0"/>
        <v>8.9073306320063689E-2</v>
      </c>
    </row>
    <row r="18" spans="1:4" x14ac:dyDescent="0.25">
      <c r="A18" s="37">
        <v>2003</v>
      </c>
      <c r="B18" s="69">
        <f>'Export 09'!B14</f>
        <v>5.1394549999999999</v>
      </c>
      <c r="C18" s="39">
        <v>41848959</v>
      </c>
      <c r="D18" s="81">
        <f t="shared" si="0"/>
        <v>0.12280962592163881</v>
      </c>
    </row>
    <row r="19" spans="1:4" x14ac:dyDescent="0.25">
      <c r="A19" s="38">
        <v>2004</v>
      </c>
      <c r="B19" s="69">
        <f>'Export 09'!B15</f>
        <v>8.7669619999999995</v>
      </c>
      <c r="C19" s="40">
        <v>42368489</v>
      </c>
      <c r="D19" s="81">
        <f t="shared" si="0"/>
        <v>0.20692175262610851</v>
      </c>
    </row>
    <row r="20" spans="1:4" x14ac:dyDescent="0.25">
      <c r="A20" s="37">
        <v>2005</v>
      </c>
      <c r="B20" s="69">
        <f>'Export 09'!B16</f>
        <v>19.191551</v>
      </c>
      <c r="C20" s="39">
        <v>42888592</v>
      </c>
      <c r="D20" s="81">
        <f t="shared" si="0"/>
        <v>0.44747449391670402</v>
      </c>
    </row>
    <row r="21" spans="1:4" x14ac:dyDescent="0.25">
      <c r="A21" s="38">
        <v>2006</v>
      </c>
      <c r="B21" s="69">
        <f>'Export 09'!B17</f>
        <v>15.957020999999999</v>
      </c>
      <c r="C21" s="40">
        <v>43405956</v>
      </c>
      <c r="D21" s="81">
        <f t="shared" si="0"/>
        <v>0.36762284420138103</v>
      </c>
    </row>
    <row r="22" spans="1:4" x14ac:dyDescent="0.25">
      <c r="A22" s="37">
        <v>2007</v>
      </c>
      <c r="B22" s="69">
        <f>'Export 09'!B18</f>
        <v>17.968544000000001</v>
      </c>
      <c r="C22" s="39">
        <v>43926929</v>
      </c>
      <c r="D22" s="81">
        <f t="shared" si="0"/>
        <v>0.40905532002931505</v>
      </c>
    </row>
    <row r="23" spans="1:4" x14ac:dyDescent="0.25">
      <c r="A23" s="38">
        <v>2008</v>
      </c>
      <c r="B23" s="69">
        <f>'Export 09'!B19</f>
        <v>19.799885</v>
      </c>
      <c r="C23" s="40">
        <v>44451147</v>
      </c>
      <c r="D23" s="81">
        <f t="shared" si="0"/>
        <v>0.4454302382793407</v>
      </c>
    </row>
    <row r="24" spans="1:4" x14ac:dyDescent="0.25">
      <c r="A24" s="37">
        <v>2009</v>
      </c>
      <c r="B24" s="69">
        <f>'Export 09'!B20</f>
        <v>18.206178000000001</v>
      </c>
      <c r="C24" s="39">
        <v>44978832</v>
      </c>
      <c r="D24" s="81">
        <f t="shared" si="0"/>
        <v>0.40477213814711771</v>
      </c>
    </row>
    <row r="25" spans="1:4" x14ac:dyDescent="0.25">
      <c r="A25" s="38">
        <v>2010</v>
      </c>
      <c r="B25" s="69">
        <f>'Export 09'!B21</f>
        <v>23.231349999999999</v>
      </c>
      <c r="C25" s="40">
        <v>45509584</v>
      </c>
      <c r="D25" s="81">
        <f t="shared" si="0"/>
        <v>0.51047159648833529</v>
      </c>
    </row>
    <row r="26" spans="1:4" x14ac:dyDescent="0.25">
      <c r="A26" s="37">
        <v>2011</v>
      </c>
      <c r="B26" s="69">
        <f>'Export 09'!B22</f>
        <v>22.369783999999999</v>
      </c>
      <c r="C26" s="39">
        <v>46044601</v>
      </c>
      <c r="D26" s="81">
        <f t="shared" si="0"/>
        <v>0.48582859910111936</v>
      </c>
    </row>
    <row r="27" spans="1:4" x14ac:dyDescent="0.25">
      <c r="A27" s="38">
        <v>2012</v>
      </c>
      <c r="B27" s="69">
        <f>'Export 09'!B23</f>
        <v>27.756962999999999</v>
      </c>
      <c r="C27" s="40">
        <v>46581823</v>
      </c>
      <c r="D27" s="81">
        <f t="shared" si="0"/>
        <v>0.59587541260461185</v>
      </c>
    </row>
    <row r="28" spans="1:4" x14ac:dyDescent="0.25">
      <c r="A28" s="37">
        <v>2013</v>
      </c>
      <c r="B28" s="69">
        <f>'Export 09'!B24</f>
        <v>21.177413000000001</v>
      </c>
      <c r="C28" s="39">
        <v>47121089</v>
      </c>
      <c r="D28" s="81">
        <f t="shared" si="0"/>
        <v>0.44942537300018681</v>
      </c>
    </row>
    <row r="29" spans="1:4" x14ac:dyDescent="0.25">
      <c r="A29" s="38">
        <v>2014</v>
      </c>
      <c r="B29" s="69">
        <f>'Export 09'!B25</f>
        <v>17.432943000000002</v>
      </c>
      <c r="C29" s="40">
        <v>47661787</v>
      </c>
      <c r="D29" s="81">
        <f t="shared" si="0"/>
        <v>0.36576352036485749</v>
      </c>
    </row>
    <row r="30" spans="1:4" x14ac:dyDescent="0.25">
      <c r="A30" s="37">
        <v>2015</v>
      </c>
      <c r="B30" s="69">
        <f>'Export 09'!B26</f>
        <v>16.877009000000001</v>
      </c>
      <c r="C30" s="39">
        <v>48203405</v>
      </c>
      <c r="D30" s="81">
        <f t="shared" si="0"/>
        <v>0.35012068130871665</v>
      </c>
    </row>
    <row r="31" spans="1:4" x14ac:dyDescent="0.25">
      <c r="A31" t="s">
        <v>93</v>
      </c>
    </row>
    <row r="34" spans="1:10" x14ac:dyDescent="0.25">
      <c r="A34" s="134" t="s">
        <v>32</v>
      </c>
      <c r="B34" s="134"/>
      <c r="C34" s="134"/>
      <c r="D34" s="134"/>
    </row>
    <row r="35" spans="1:10" ht="60" x14ac:dyDescent="0.25">
      <c r="A35" s="120" t="s">
        <v>3</v>
      </c>
      <c r="B35" s="34" t="s">
        <v>33</v>
      </c>
      <c r="C35" s="34" t="s">
        <v>68</v>
      </c>
      <c r="D35" s="34" t="s">
        <v>129</v>
      </c>
    </row>
    <row r="36" spans="1:10" x14ac:dyDescent="0.25">
      <c r="A36" s="37">
        <v>1991</v>
      </c>
      <c r="B36" s="69">
        <f>'Import 09'!B2</f>
        <v>3.331747</v>
      </c>
      <c r="C36" s="39">
        <v>34830570</v>
      </c>
      <c r="D36" s="35">
        <f t="shared" ref="D36:D60" si="1">(B36/C36)*1000000</f>
        <v>9.5655827624985743E-2</v>
      </c>
      <c r="F36" s="7" t="s">
        <v>71</v>
      </c>
      <c r="I36" s="1" t="s">
        <v>10</v>
      </c>
      <c r="J36" s="7" t="s">
        <v>72</v>
      </c>
    </row>
    <row r="37" spans="1:10" x14ac:dyDescent="0.25">
      <c r="A37" s="38">
        <v>1992</v>
      </c>
      <c r="B37" s="69">
        <f>'Import 09'!B3</f>
        <v>3.9960550000000001</v>
      </c>
      <c r="C37" s="40">
        <v>35520940</v>
      </c>
      <c r="D37" s="35">
        <f t="shared" si="1"/>
        <v>0.11249857126528746</v>
      </c>
    </row>
    <row r="38" spans="1:10" x14ac:dyDescent="0.25">
      <c r="A38" s="37">
        <v>1993</v>
      </c>
      <c r="B38" s="69">
        <f>'Import 09'!B4</f>
        <v>8.5819220000000005</v>
      </c>
      <c r="C38" s="39">
        <v>36207108</v>
      </c>
      <c r="D38" s="35">
        <f t="shared" si="1"/>
        <v>0.23702312816588392</v>
      </c>
    </row>
    <row r="39" spans="1:10" x14ac:dyDescent="0.25">
      <c r="A39" s="38">
        <v>1994</v>
      </c>
      <c r="B39" s="69">
        <f>'Import 09'!B5</f>
        <v>9.8553080000000008</v>
      </c>
      <c r="C39" s="40">
        <v>36853905</v>
      </c>
      <c r="D39" s="35">
        <f t="shared" si="1"/>
        <v>0.2674155696662267</v>
      </c>
    </row>
    <row r="40" spans="1:10" x14ac:dyDescent="0.25">
      <c r="A40" s="37">
        <v>1995</v>
      </c>
      <c r="B40" s="69">
        <f>'Import 09'!B6</f>
        <v>13.397544</v>
      </c>
      <c r="C40" s="39">
        <v>37472184</v>
      </c>
      <c r="D40" s="35">
        <f t="shared" si="1"/>
        <v>0.35753304371050271</v>
      </c>
    </row>
    <row r="41" spans="1:10" x14ac:dyDescent="0.25">
      <c r="A41" s="38">
        <v>1996</v>
      </c>
      <c r="B41" s="69">
        <f>'Import 09'!B7</f>
        <v>14.597754999999999</v>
      </c>
      <c r="C41" s="40">
        <v>38068050</v>
      </c>
      <c r="D41" s="35">
        <f t="shared" si="1"/>
        <v>0.38346474274358677</v>
      </c>
    </row>
    <row r="42" spans="1:10" x14ac:dyDescent="0.25">
      <c r="A42" s="37">
        <v>1997</v>
      </c>
      <c r="B42" s="69">
        <f>'Import 09'!B8</f>
        <v>17.202976</v>
      </c>
      <c r="C42" s="39">
        <v>38635691</v>
      </c>
      <c r="D42" s="35">
        <f t="shared" si="1"/>
        <v>0.44526124820700114</v>
      </c>
    </row>
    <row r="43" spans="1:10" x14ac:dyDescent="0.25">
      <c r="A43" s="38">
        <v>1998</v>
      </c>
      <c r="B43" s="69">
        <f>'Import 09'!B9</f>
        <v>18.203968</v>
      </c>
      <c r="C43" s="40">
        <v>39184456</v>
      </c>
      <c r="D43" s="35">
        <f t="shared" si="1"/>
        <v>0.46457115546021616</v>
      </c>
    </row>
    <row r="44" spans="1:10" x14ac:dyDescent="0.25">
      <c r="A44" s="37">
        <v>1999</v>
      </c>
      <c r="B44" s="69">
        <f>'Import 09'!B10</f>
        <v>21.820636</v>
      </c>
      <c r="C44" s="39">
        <v>39730798</v>
      </c>
      <c r="D44" s="35">
        <f t="shared" si="1"/>
        <v>0.54921212506227535</v>
      </c>
    </row>
    <row r="45" spans="1:10" x14ac:dyDescent="0.25">
      <c r="A45" s="38">
        <v>2000</v>
      </c>
      <c r="B45" s="69">
        <f>'Import 09'!B11</f>
        <v>13.706878</v>
      </c>
      <c r="C45" s="40">
        <v>40295563</v>
      </c>
      <c r="D45" s="35">
        <f t="shared" si="1"/>
        <v>0.34015849338052428</v>
      </c>
    </row>
    <row r="46" spans="1:10" x14ac:dyDescent="0.25">
      <c r="A46" s="37">
        <v>2001</v>
      </c>
      <c r="B46" s="69">
        <f>'Import 09'!B12</f>
        <v>14.49283</v>
      </c>
      <c r="C46" s="39">
        <v>40813541</v>
      </c>
      <c r="D46" s="35">
        <f t="shared" si="1"/>
        <v>0.35509856887938246</v>
      </c>
    </row>
    <row r="47" spans="1:10" x14ac:dyDescent="0.25">
      <c r="A47" s="38">
        <v>2002</v>
      </c>
      <c r="B47" s="69">
        <f>'Import 09'!B13</f>
        <v>17.436653</v>
      </c>
      <c r="C47" s="40">
        <v>41328824</v>
      </c>
      <c r="D47" s="35">
        <f t="shared" si="1"/>
        <v>0.42190053605202993</v>
      </c>
    </row>
    <row r="48" spans="1:10" x14ac:dyDescent="0.25">
      <c r="A48" s="37">
        <v>2003</v>
      </c>
      <c r="B48" s="69">
        <f>'Import 09'!B14</f>
        <v>16.116531999999999</v>
      </c>
      <c r="C48" s="39">
        <v>41848959</v>
      </c>
      <c r="D48" s="35">
        <f t="shared" si="1"/>
        <v>0.38511189728757644</v>
      </c>
    </row>
    <row r="49" spans="1:4" x14ac:dyDescent="0.25">
      <c r="A49" s="38">
        <v>2004</v>
      </c>
      <c r="B49" s="69">
        <f>'Import 09'!B15</f>
        <v>19.024771000000001</v>
      </c>
      <c r="C49" s="40">
        <v>42368489</v>
      </c>
      <c r="D49" s="35">
        <f t="shared" si="1"/>
        <v>0.44903114198856614</v>
      </c>
    </row>
    <row r="50" spans="1:4" x14ac:dyDescent="0.25">
      <c r="A50" s="37">
        <v>2005</v>
      </c>
      <c r="B50" s="69">
        <f>'Import 09'!B16</f>
        <v>20.507144</v>
      </c>
      <c r="C50" s="39">
        <v>42888592</v>
      </c>
      <c r="D50" s="35">
        <f t="shared" si="1"/>
        <v>0.47814915444181516</v>
      </c>
    </row>
    <row r="51" spans="1:4" x14ac:dyDescent="0.25">
      <c r="A51" s="38">
        <v>2006</v>
      </c>
      <c r="B51" s="69">
        <f>'Import 09'!B17</f>
        <v>32.155056999999999</v>
      </c>
      <c r="C51" s="40">
        <v>43405956</v>
      </c>
      <c r="D51" s="35">
        <f t="shared" si="1"/>
        <v>0.74079826740827914</v>
      </c>
    </row>
    <row r="52" spans="1:4" x14ac:dyDescent="0.25">
      <c r="A52" s="37">
        <v>2007</v>
      </c>
      <c r="B52" s="69">
        <f>'Import 09'!B18</f>
        <v>37.265571999999999</v>
      </c>
      <c r="C52" s="39">
        <v>43926929</v>
      </c>
      <c r="D52" s="35">
        <f t="shared" si="1"/>
        <v>0.84835368299932823</v>
      </c>
    </row>
    <row r="53" spans="1:4" x14ac:dyDescent="0.25">
      <c r="A53" s="38">
        <v>2008</v>
      </c>
      <c r="B53" s="69">
        <f>'Import 09'!B19</f>
        <v>42.939801000000003</v>
      </c>
      <c r="C53" s="40">
        <v>44451147</v>
      </c>
      <c r="D53" s="35">
        <f t="shared" si="1"/>
        <v>0.96599984247875548</v>
      </c>
    </row>
    <row r="54" spans="1:4" x14ac:dyDescent="0.25">
      <c r="A54" s="37">
        <v>2009</v>
      </c>
      <c r="B54" s="69">
        <f>'Import 09'!B20</f>
        <v>48.350667999999999</v>
      </c>
      <c r="C54" s="39">
        <v>44978832</v>
      </c>
      <c r="D54" s="35">
        <f t="shared" si="1"/>
        <v>1.0749649524024991</v>
      </c>
    </row>
    <row r="55" spans="1:4" x14ac:dyDescent="0.25">
      <c r="A55" s="38">
        <v>2010</v>
      </c>
      <c r="B55" s="69">
        <f>'Import 09'!B21</f>
        <v>49.965361000000001</v>
      </c>
      <c r="C55" s="40">
        <v>45509584</v>
      </c>
      <c r="D55" s="35">
        <f t="shared" si="1"/>
        <v>1.0979085416381746</v>
      </c>
    </row>
    <row r="56" spans="1:4" x14ac:dyDescent="0.25">
      <c r="A56" s="37">
        <v>2011</v>
      </c>
      <c r="B56" s="69">
        <f>'Import 09'!B22</f>
        <v>74.036721999999997</v>
      </c>
      <c r="C56" s="39">
        <v>46044601</v>
      </c>
      <c r="D56" s="35">
        <f t="shared" si="1"/>
        <v>1.6079349237926939</v>
      </c>
    </row>
    <row r="57" spans="1:4" x14ac:dyDescent="0.25">
      <c r="A57" s="38">
        <v>2012</v>
      </c>
      <c r="B57" s="69">
        <f>'Import 09'!B23</f>
        <v>108.397113</v>
      </c>
      <c r="C57" s="40">
        <v>46581823</v>
      </c>
      <c r="D57" s="35">
        <f t="shared" si="1"/>
        <v>2.3270259946674909</v>
      </c>
    </row>
    <row r="58" spans="1:4" x14ac:dyDescent="0.25">
      <c r="A58" s="37">
        <v>2013</v>
      </c>
      <c r="B58" s="69">
        <f>'Import 09'!B24</f>
        <v>101.897245</v>
      </c>
      <c r="C58" s="39">
        <v>47121089</v>
      </c>
      <c r="D58" s="35">
        <f t="shared" si="1"/>
        <v>2.1624552225437745</v>
      </c>
    </row>
    <row r="59" spans="1:4" x14ac:dyDescent="0.25">
      <c r="A59" s="38">
        <v>2014</v>
      </c>
      <c r="B59" s="69">
        <f>'Import 09'!B25</f>
        <v>120.79994499999999</v>
      </c>
      <c r="C59" s="40">
        <v>47661787</v>
      </c>
      <c r="D59" s="35">
        <f t="shared" si="1"/>
        <v>2.5345240412408372</v>
      </c>
    </row>
    <row r="60" spans="1:4" x14ac:dyDescent="0.25">
      <c r="A60" s="37">
        <v>2015</v>
      </c>
      <c r="B60" s="69">
        <f>'Import 09'!B26</f>
        <v>116.24860099999999</v>
      </c>
      <c r="C60" s="39">
        <v>48203405</v>
      </c>
      <c r="D60" s="35">
        <f t="shared" si="1"/>
        <v>2.4116263363552841</v>
      </c>
    </row>
    <row r="61" spans="1:4" x14ac:dyDescent="0.25">
      <c r="A61" t="s">
        <v>93</v>
      </c>
    </row>
    <row r="63" spans="1:4" x14ac:dyDescent="0.25">
      <c r="A63" s="134" t="s">
        <v>64</v>
      </c>
      <c r="B63" s="134"/>
      <c r="C63" s="134"/>
      <c r="D63" s="134"/>
    </row>
    <row r="64" spans="1:4" ht="75" x14ac:dyDescent="0.25">
      <c r="A64" s="120" t="s">
        <v>3</v>
      </c>
      <c r="B64" s="34" t="s">
        <v>65</v>
      </c>
      <c r="C64" s="34" t="s">
        <v>68</v>
      </c>
      <c r="D64" s="34" t="s">
        <v>132</v>
      </c>
    </row>
    <row r="65" spans="1:10" x14ac:dyDescent="0.25">
      <c r="A65" s="37">
        <v>1991</v>
      </c>
      <c r="B65" s="69">
        <f>'Apertura 09'!B213</f>
        <v>4.3739749999999997</v>
      </c>
      <c r="C65" s="39">
        <v>34830570</v>
      </c>
      <c r="D65" s="81">
        <f t="shared" ref="D65:D89" si="2">(B65/C65)*1000000</f>
        <v>0.12557862245722651</v>
      </c>
      <c r="F65" s="7" t="s">
        <v>77</v>
      </c>
      <c r="I65" s="1" t="s">
        <v>10</v>
      </c>
      <c r="J65" s="7" t="s">
        <v>76</v>
      </c>
    </row>
    <row r="66" spans="1:10" x14ac:dyDescent="0.25">
      <c r="A66" s="38">
        <v>1992</v>
      </c>
      <c r="B66" s="69">
        <f>'Apertura 09'!B214</f>
        <v>5.581029</v>
      </c>
      <c r="C66" s="40">
        <v>35520940</v>
      </c>
      <c r="D66" s="81">
        <f t="shared" si="2"/>
        <v>0.1571194061868858</v>
      </c>
    </row>
    <row r="67" spans="1:10" x14ac:dyDescent="0.25">
      <c r="A67" s="37">
        <v>1993</v>
      </c>
      <c r="B67" s="69">
        <f>'Apertura 09'!B215</f>
        <v>9.8315420000000007</v>
      </c>
      <c r="C67" s="39">
        <v>36207108</v>
      </c>
      <c r="D67" s="81">
        <f t="shared" si="2"/>
        <v>0.27153624089501988</v>
      </c>
    </row>
    <row r="68" spans="1:10" x14ac:dyDescent="0.25">
      <c r="A68" s="38">
        <v>1994</v>
      </c>
      <c r="B68" s="69">
        <f>'Apertura 09'!B216</f>
        <v>11.896477000000001</v>
      </c>
      <c r="C68" s="40">
        <v>36853905</v>
      </c>
      <c r="D68" s="81">
        <f t="shared" si="2"/>
        <v>0.32280098947452107</v>
      </c>
    </row>
    <row r="69" spans="1:10" x14ac:dyDescent="0.25">
      <c r="A69" s="37">
        <v>1995</v>
      </c>
      <c r="B69" s="69">
        <f>'Apertura 09'!B217</f>
        <v>14.834728999999999</v>
      </c>
      <c r="C69" s="39">
        <v>37472184</v>
      </c>
      <c r="D69" s="81">
        <f t="shared" si="2"/>
        <v>0.39588642604871921</v>
      </c>
    </row>
    <row r="70" spans="1:10" x14ac:dyDescent="0.25">
      <c r="A70" s="38">
        <v>1996</v>
      </c>
      <c r="B70" s="69">
        <f>'Apertura 09'!B218</f>
        <v>16.113661</v>
      </c>
      <c r="C70" s="40">
        <v>38068050</v>
      </c>
      <c r="D70" s="81">
        <f t="shared" si="2"/>
        <v>0.42328569495942137</v>
      </c>
    </row>
    <row r="71" spans="1:10" x14ac:dyDescent="0.25">
      <c r="A71" s="37">
        <v>1997</v>
      </c>
      <c r="B71" s="69">
        <f>'Apertura 09'!B219</f>
        <v>18.552119000000001</v>
      </c>
      <c r="C71" s="39">
        <v>38635691</v>
      </c>
      <c r="D71" s="81">
        <f t="shared" si="2"/>
        <v>0.48018085143086997</v>
      </c>
    </row>
    <row r="72" spans="1:10" x14ac:dyDescent="0.25">
      <c r="A72" s="38">
        <v>1998</v>
      </c>
      <c r="B72" s="69">
        <f>'Apertura 09'!B220</f>
        <v>19.246645999999998</v>
      </c>
      <c r="C72" s="40">
        <v>39184456</v>
      </c>
      <c r="D72" s="81">
        <f t="shared" si="2"/>
        <v>0.49118063550505842</v>
      </c>
    </row>
    <row r="73" spans="1:10" x14ac:dyDescent="0.25">
      <c r="A73" s="37">
        <v>1999</v>
      </c>
      <c r="B73" s="69">
        <f>'Apertura 09'!B221</f>
        <v>23.298636000000002</v>
      </c>
      <c r="C73" s="39">
        <v>39730798</v>
      </c>
      <c r="D73" s="81">
        <f t="shared" si="2"/>
        <v>0.58641248534700974</v>
      </c>
    </row>
    <row r="74" spans="1:10" x14ac:dyDescent="0.25">
      <c r="A74" s="38">
        <v>2000</v>
      </c>
      <c r="B74" s="69">
        <f>'Apertura 09'!B222</f>
        <v>15.686513999999999</v>
      </c>
      <c r="C74" s="40">
        <v>40295563</v>
      </c>
      <c r="D74" s="81">
        <f t="shared" si="2"/>
        <v>0.38928638371425656</v>
      </c>
    </row>
    <row r="75" spans="1:10" x14ac:dyDescent="0.25">
      <c r="A75" s="37">
        <v>2001</v>
      </c>
      <c r="B75" s="69">
        <f>'Apertura 09'!B223</f>
        <v>18.772084</v>
      </c>
      <c r="C75" s="39">
        <v>40813541</v>
      </c>
      <c r="D75" s="81">
        <f t="shared" si="2"/>
        <v>0.45994744734351767</v>
      </c>
    </row>
    <row r="76" spans="1:10" x14ac:dyDescent="0.25">
      <c r="A76" s="38">
        <v>2002</v>
      </c>
      <c r="B76" s="69">
        <f>'Apertura 09'!B224</f>
        <v>21.117947999999998</v>
      </c>
      <c r="C76" s="40">
        <v>41328824</v>
      </c>
      <c r="D76" s="81">
        <f t="shared" si="2"/>
        <v>0.51097384237209353</v>
      </c>
    </row>
    <row r="77" spans="1:10" x14ac:dyDescent="0.25">
      <c r="A77" s="37">
        <v>2003</v>
      </c>
      <c r="B77" s="69">
        <f>'Apertura 09'!B225</f>
        <v>21.255986999999998</v>
      </c>
      <c r="C77" s="39">
        <v>41848959</v>
      </c>
      <c r="D77" s="81">
        <f t="shared" si="2"/>
        <v>0.50792152320921524</v>
      </c>
    </row>
    <row r="78" spans="1:10" x14ac:dyDescent="0.25">
      <c r="A78" s="38">
        <v>2004</v>
      </c>
      <c r="B78" s="69">
        <f>'Apertura 09'!B226</f>
        <v>27.791733000000001</v>
      </c>
      <c r="C78" s="40">
        <v>42368489</v>
      </c>
      <c r="D78" s="81">
        <f t="shared" si="2"/>
        <v>0.65595289461467465</v>
      </c>
    </row>
    <row r="79" spans="1:10" x14ac:dyDescent="0.25">
      <c r="A79" s="37">
        <v>2005</v>
      </c>
      <c r="B79" s="69">
        <f>'Apertura 09'!B227</f>
        <v>39.698695000000001</v>
      </c>
      <c r="C79" s="39">
        <v>42888592</v>
      </c>
      <c r="D79" s="81">
        <f t="shared" si="2"/>
        <v>0.92562364835851918</v>
      </c>
    </row>
    <row r="80" spans="1:10" x14ac:dyDescent="0.25">
      <c r="A80" s="38">
        <v>2006</v>
      </c>
      <c r="B80" s="69">
        <f>'Apertura 09'!B228</f>
        <v>48.112077999999997</v>
      </c>
      <c r="C80" s="40">
        <v>43405956</v>
      </c>
      <c r="D80" s="81">
        <f t="shared" si="2"/>
        <v>1.1084211116096601</v>
      </c>
    </row>
    <row r="81" spans="1:4" x14ac:dyDescent="0.25">
      <c r="A81" s="37">
        <v>2007</v>
      </c>
      <c r="B81" s="69">
        <f>'Apertura 09'!B229</f>
        <v>55.234116</v>
      </c>
      <c r="C81" s="39">
        <v>43926929</v>
      </c>
      <c r="D81" s="81">
        <f t="shared" si="2"/>
        <v>1.2574090030286433</v>
      </c>
    </row>
    <row r="82" spans="1:4" x14ac:dyDescent="0.25">
      <c r="A82" s="38">
        <v>2008</v>
      </c>
      <c r="B82" s="69">
        <f>'Apertura 09'!B230</f>
        <v>62.739686000000006</v>
      </c>
      <c r="C82" s="40">
        <v>44451147</v>
      </c>
      <c r="D82" s="81">
        <f t="shared" si="2"/>
        <v>1.4114300807580962</v>
      </c>
    </row>
    <row r="83" spans="1:4" x14ac:dyDescent="0.25">
      <c r="A83" s="37">
        <v>2009</v>
      </c>
      <c r="B83" s="69">
        <f>'Apertura 09'!B231</f>
        <v>66.556846000000007</v>
      </c>
      <c r="C83" s="39">
        <v>44978832</v>
      </c>
      <c r="D83" s="81">
        <f t="shared" si="2"/>
        <v>1.4797370905496168</v>
      </c>
    </row>
    <row r="84" spans="1:4" x14ac:dyDescent="0.25">
      <c r="A84" s="38">
        <v>2010</v>
      </c>
      <c r="B84" s="69">
        <f>'Apertura 09'!B232</f>
        <v>73.196710999999993</v>
      </c>
      <c r="C84" s="40">
        <v>45509584</v>
      </c>
      <c r="D84" s="81">
        <f t="shared" si="2"/>
        <v>1.6083801381265097</v>
      </c>
    </row>
    <row r="85" spans="1:4" x14ac:dyDescent="0.25">
      <c r="A85" s="37">
        <v>2011</v>
      </c>
      <c r="B85" s="69">
        <f>'Apertura 09'!B233</f>
        <v>96.406505999999993</v>
      </c>
      <c r="C85" s="39">
        <v>46044601</v>
      </c>
      <c r="D85" s="81">
        <f t="shared" si="2"/>
        <v>2.0937635228938132</v>
      </c>
    </row>
    <row r="86" spans="1:4" x14ac:dyDescent="0.25">
      <c r="A86" s="38">
        <v>2012</v>
      </c>
      <c r="B86" s="69">
        <f>'Apertura 09'!B234</f>
        <v>136.154076</v>
      </c>
      <c r="C86" s="40">
        <v>46581823</v>
      </c>
      <c r="D86" s="81">
        <f t="shared" si="2"/>
        <v>2.9229014072721027</v>
      </c>
    </row>
    <row r="87" spans="1:4" x14ac:dyDescent="0.25">
      <c r="A87" s="37">
        <v>2013</v>
      </c>
      <c r="B87" s="69">
        <f>'Apertura 09'!B235</f>
        <v>123.074658</v>
      </c>
      <c r="C87" s="39">
        <v>47121089</v>
      </c>
      <c r="D87" s="81">
        <f t="shared" si="2"/>
        <v>2.611880595543961</v>
      </c>
    </row>
    <row r="88" spans="1:4" x14ac:dyDescent="0.25">
      <c r="A88" s="38">
        <v>2014</v>
      </c>
      <c r="B88" s="69">
        <f>'Apertura 09'!B236</f>
        <v>138.232888</v>
      </c>
      <c r="C88" s="40">
        <v>47661787</v>
      </c>
      <c r="D88" s="81">
        <f t="shared" si="2"/>
        <v>2.9002875616056949</v>
      </c>
    </row>
    <row r="89" spans="1:4" x14ac:dyDescent="0.25">
      <c r="A89" s="37">
        <v>2015</v>
      </c>
      <c r="B89" s="69">
        <f>'Apertura 09'!B237</f>
        <v>133.12560999999999</v>
      </c>
      <c r="C89" s="39">
        <v>48203405</v>
      </c>
      <c r="D89" s="81">
        <f t="shared" si="2"/>
        <v>2.7617470176640011</v>
      </c>
    </row>
    <row r="90" spans="1:4" x14ac:dyDescent="0.25">
      <c r="A90" t="s">
        <v>93</v>
      </c>
    </row>
    <row r="95" spans="1:4" x14ac:dyDescent="0.25">
      <c r="A95" s="134" t="s">
        <v>34</v>
      </c>
      <c r="B95" s="134"/>
      <c r="C95" s="134"/>
      <c r="D95" s="134"/>
    </row>
    <row r="96" spans="1:4" ht="60" x14ac:dyDescent="0.25">
      <c r="A96" s="120" t="s">
        <v>3</v>
      </c>
      <c r="B96" s="34" t="s">
        <v>8</v>
      </c>
      <c r="C96" s="34" t="s">
        <v>35</v>
      </c>
      <c r="D96" s="34" t="s">
        <v>38</v>
      </c>
    </row>
    <row r="97" spans="1:11" x14ac:dyDescent="0.25">
      <c r="A97" s="37">
        <v>1991</v>
      </c>
      <c r="B97" s="69">
        <f t="shared" ref="B97:B121" si="3">B36</f>
        <v>3.331747</v>
      </c>
      <c r="C97" s="39">
        <v>253620000</v>
      </c>
      <c r="D97" s="68">
        <f t="shared" ref="D97:D121" si="4">(B97/C97)*1000000</f>
        <v>1.3136767605078465E-2</v>
      </c>
      <c r="G97" s="7" t="s">
        <v>69</v>
      </c>
      <c r="J97" s="1" t="s">
        <v>10</v>
      </c>
      <c r="K97" s="7" t="s">
        <v>74</v>
      </c>
    </row>
    <row r="98" spans="1:11" x14ac:dyDescent="0.25">
      <c r="A98" s="38">
        <v>1992</v>
      </c>
      <c r="B98" s="69">
        <f t="shared" si="3"/>
        <v>3.9960550000000001</v>
      </c>
      <c r="C98" s="40">
        <v>256516000</v>
      </c>
      <c r="D98" s="68">
        <f t="shared" si="4"/>
        <v>1.5578190054421556E-2</v>
      </c>
    </row>
    <row r="99" spans="1:11" x14ac:dyDescent="0.25">
      <c r="A99" s="37">
        <v>1993</v>
      </c>
      <c r="B99" s="69">
        <f t="shared" si="3"/>
        <v>8.5819220000000005</v>
      </c>
      <c r="C99" s="39">
        <v>259131000</v>
      </c>
      <c r="D99" s="68">
        <f t="shared" si="4"/>
        <v>3.3118083131697867E-2</v>
      </c>
    </row>
    <row r="100" spans="1:11" x14ac:dyDescent="0.25">
      <c r="A100" s="38">
        <v>1994</v>
      </c>
      <c r="B100" s="69">
        <f t="shared" si="3"/>
        <v>9.8553080000000008</v>
      </c>
      <c r="C100" s="40">
        <v>264061000</v>
      </c>
      <c r="D100" s="68">
        <f t="shared" si="4"/>
        <v>3.7322088456833845E-2</v>
      </c>
    </row>
    <row r="101" spans="1:11" x14ac:dyDescent="0.25">
      <c r="A101" s="37">
        <v>1995</v>
      </c>
      <c r="B101" s="69">
        <f t="shared" si="3"/>
        <v>13.397544</v>
      </c>
      <c r="C101" s="39">
        <v>266398000</v>
      </c>
      <c r="D101" s="68">
        <f t="shared" si="4"/>
        <v>5.0291458644584418E-2</v>
      </c>
    </row>
    <row r="102" spans="1:11" x14ac:dyDescent="0.25">
      <c r="A102" s="38">
        <v>1996</v>
      </c>
      <c r="B102" s="69">
        <f t="shared" si="3"/>
        <v>14.597754999999999</v>
      </c>
      <c r="C102" s="40">
        <v>268930000</v>
      </c>
      <c r="D102" s="68">
        <f t="shared" si="4"/>
        <v>5.4280872345963634E-2</v>
      </c>
    </row>
    <row r="103" spans="1:11" x14ac:dyDescent="0.25">
      <c r="A103" s="37">
        <v>1997</v>
      </c>
      <c r="B103" s="69">
        <f t="shared" si="3"/>
        <v>17.202976</v>
      </c>
      <c r="C103" s="39">
        <v>271387000</v>
      </c>
      <c r="D103" s="68">
        <f t="shared" si="4"/>
        <v>6.3389093803314089E-2</v>
      </c>
    </row>
    <row r="104" spans="1:11" x14ac:dyDescent="0.25">
      <c r="A104" s="38">
        <v>1998</v>
      </c>
      <c r="B104" s="69">
        <f t="shared" si="3"/>
        <v>18.203968</v>
      </c>
      <c r="C104" s="40">
        <v>271584000</v>
      </c>
      <c r="D104" s="68">
        <f t="shared" si="4"/>
        <v>6.7028867679981147E-2</v>
      </c>
    </row>
    <row r="105" spans="1:11" x14ac:dyDescent="0.25">
      <c r="A105" s="37">
        <v>1999</v>
      </c>
      <c r="B105" s="69">
        <f t="shared" si="3"/>
        <v>21.820636</v>
      </c>
      <c r="C105" s="39">
        <v>274024000</v>
      </c>
      <c r="D105" s="68">
        <f t="shared" si="4"/>
        <v>7.9630382740197944E-2</v>
      </c>
    </row>
    <row r="106" spans="1:11" x14ac:dyDescent="0.25">
      <c r="A106" s="38">
        <v>2000</v>
      </c>
      <c r="B106" s="69">
        <f t="shared" si="3"/>
        <v>13.706878</v>
      </c>
      <c r="C106" s="40">
        <v>284968955</v>
      </c>
      <c r="D106" s="68">
        <f t="shared" si="4"/>
        <v>4.8099548247281881E-2</v>
      </c>
    </row>
    <row r="107" spans="1:11" x14ac:dyDescent="0.25">
      <c r="A107" s="37">
        <v>2001</v>
      </c>
      <c r="B107" s="69">
        <f t="shared" si="3"/>
        <v>14.49283</v>
      </c>
      <c r="C107" s="39">
        <v>287625193</v>
      </c>
      <c r="D107" s="68">
        <f t="shared" si="4"/>
        <v>5.0387901869221867E-2</v>
      </c>
    </row>
    <row r="108" spans="1:11" x14ac:dyDescent="0.25">
      <c r="A108" s="38">
        <v>2002</v>
      </c>
      <c r="B108" s="69">
        <f t="shared" si="3"/>
        <v>17.436653</v>
      </c>
      <c r="C108" s="40">
        <v>290107933</v>
      </c>
      <c r="D108" s="68">
        <f t="shared" si="4"/>
        <v>6.0104019975213842E-2</v>
      </c>
    </row>
    <row r="109" spans="1:11" x14ac:dyDescent="0.25">
      <c r="A109" s="37">
        <v>2003</v>
      </c>
      <c r="B109" s="69">
        <f t="shared" si="3"/>
        <v>16.116531999999999</v>
      </c>
      <c r="C109" s="39">
        <v>292805298</v>
      </c>
      <c r="D109" s="68">
        <f t="shared" si="4"/>
        <v>5.5041804605598356E-2</v>
      </c>
    </row>
    <row r="110" spans="1:11" x14ac:dyDescent="0.25">
      <c r="A110" s="38">
        <v>2004</v>
      </c>
      <c r="B110" s="69">
        <f t="shared" si="3"/>
        <v>19.024771000000001</v>
      </c>
      <c r="C110" s="40">
        <v>295516599</v>
      </c>
      <c r="D110" s="68">
        <f t="shared" si="4"/>
        <v>6.4378011470008836E-2</v>
      </c>
    </row>
    <row r="111" spans="1:11" x14ac:dyDescent="0.25">
      <c r="A111" s="37">
        <v>2005</v>
      </c>
      <c r="B111" s="69">
        <f t="shared" si="3"/>
        <v>20.507144</v>
      </c>
      <c r="C111" s="39">
        <v>298379912</v>
      </c>
      <c r="D111" s="68">
        <f t="shared" si="4"/>
        <v>6.8728299645051172E-2</v>
      </c>
    </row>
    <row r="112" spans="1:11" x14ac:dyDescent="0.25">
      <c r="A112" s="38">
        <v>2006</v>
      </c>
      <c r="B112" s="69">
        <f t="shared" si="3"/>
        <v>32.155056999999999</v>
      </c>
      <c r="C112" s="40">
        <v>301231207</v>
      </c>
      <c r="D112" s="68">
        <f t="shared" si="4"/>
        <v>0.10674543756683218</v>
      </c>
    </row>
    <row r="113" spans="1:11" x14ac:dyDescent="0.25">
      <c r="A113" s="37">
        <v>2007</v>
      </c>
      <c r="B113" s="69">
        <f t="shared" si="3"/>
        <v>37.265571999999999</v>
      </c>
      <c r="C113" s="39">
        <v>304093966</v>
      </c>
      <c r="D113" s="68">
        <f t="shared" si="4"/>
        <v>0.12254623953965597</v>
      </c>
    </row>
    <row r="114" spans="1:11" x14ac:dyDescent="0.25">
      <c r="A114" s="38">
        <v>2008</v>
      </c>
      <c r="B114" s="69">
        <f t="shared" si="3"/>
        <v>42.939801000000003</v>
      </c>
      <c r="C114" s="40">
        <v>306771529</v>
      </c>
      <c r="D114" s="68">
        <f t="shared" si="4"/>
        <v>0.13997322743728283</v>
      </c>
    </row>
    <row r="115" spans="1:11" x14ac:dyDescent="0.25">
      <c r="A115" s="37">
        <v>2009</v>
      </c>
      <c r="B115" s="69">
        <f t="shared" si="3"/>
        <v>48.350667999999999</v>
      </c>
      <c r="C115" s="39">
        <v>308745538</v>
      </c>
      <c r="D115" s="68">
        <f t="shared" si="4"/>
        <v>0.15660361705373052</v>
      </c>
    </row>
    <row r="116" spans="1:11" x14ac:dyDescent="0.25">
      <c r="A116" s="38">
        <v>2010</v>
      </c>
      <c r="B116" s="69">
        <f t="shared" si="3"/>
        <v>49.965361000000001</v>
      </c>
      <c r="C116" s="40">
        <v>309347057</v>
      </c>
      <c r="D116" s="68">
        <f t="shared" si="4"/>
        <v>0.16151878567895991</v>
      </c>
    </row>
    <row r="117" spans="1:11" x14ac:dyDescent="0.25">
      <c r="A117" s="37">
        <v>2011</v>
      </c>
      <c r="B117" s="69">
        <f t="shared" si="3"/>
        <v>74.036721999999997</v>
      </c>
      <c r="C117" s="39">
        <v>311721632</v>
      </c>
      <c r="D117" s="68">
        <f t="shared" si="4"/>
        <v>0.23750909272796311</v>
      </c>
    </row>
    <row r="118" spans="1:11" x14ac:dyDescent="0.25">
      <c r="A118" s="38">
        <v>2012</v>
      </c>
      <c r="B118" s="69">
        <f t="shared" si="3"/>
        <v>108.397113</v>
      </c>
      <c r="C118" s="40">
        <v>314112078</v>
      </c>
      <c r="D118" s="68">
        <f t="shared" si="4"/>
        <v>0.34509056031904639</v>
      </c>
    </row>
    <row r="119" spans="1:11" x14ac:dyDescent="0.25">
      <c r="A119" s="37">
        <v>2013</v>
      </c>
      <c r="B119" s="69">
        <f t="shared" si="3"/>
        <v>101.897245</v>
      </c>
      <c r="C119" s="39">
        <v>316497531</v>
      </c>
      <c r="D119" s="68">
        <f t="shared" si="4"/>
        <v>0.32195273270551988</v>
      </c>
    </row>
    <row r="120" spans="1:11" x14ac:dyDescent="0.25">
      <c r="A120" s="38">
        <v>2014</v>
      </c>
      <c r="B120" s="69">
        <f t="shared" si="3"/>
        <v>120.79994499999999</v>
      </c>
      <c r="C120" s="40">
        <v>318857056</v>
      </c>
      <c r="D120" s="68">
        <f t="shared" si="4"/>
        <v>0.37885297730403678</v>
      </c>
    </row>
    <row r="121" spans="1:11" x14ac:dyDescent="0.25">
      <c r="A121" s="37">
        <v>2015</v>
      </c>
      <c r="B121" s="69">
        <f t="shared" si="3"/>
        <v>116.24860099999999</v>
      </c>
      <c r="C121" s="39">
        <v>321418820</v>
      </c>
      <c r="D121" s="68">
        <f t="shared" si="4"/>
        <v>0.36167328658601877</v>
      </c>
    </row>
    <row r="122" spans="1:11" x14ac:dyDescent="0.25">
      <c r="A122" t="s">
        <v>88</v>
      </c>
    </row>
    <row r="125" spans="1:11" x14ac:dyDescent="0.25">
      <c r="A125" s="134" t="s">
        <v>73</v>
      </c>
      <c r="B125" s="134"/>
      <c r="C125" s="134"/>
      <c r="D125" s="134"/>
    </row>
    <row r="126" spans="1:11" ht="60" x14ac:dyDescent="0.25">
      <c r="A126" s="120" t="s">
        <v>3</v>
      </c>
      <c r="B126" s="34" t="s">
        <v>130</v>
      </c>
      <c r="C126" s="34" t="s">
        <v>35</v>
      </c>
      <c r="D126" s="34" t="s">
        <v>129</v>
      </c>
    </row>
    <row r="127" spans="1:11" x14ac:dyDescent="0.25">
      <c r="A127" s="37">
        <v>1991</v>
      </c>
      <c r="B127" s="69">
        <f t="shared" ref="B127:B151" si="5">B6</f>
        <v>1.0422279999999999</v>
      </c>
      <c r="C127" s="39">
        <v>253620000</v>
      </c>
      <c r="D127" s="81">
        <f t="shared" ref="D127:D151" si="6">(B127*1000000)/C127</f>
        <v>4.109407775412033E-3</v>
      </c>
      <c r="G127" s="7" t="s">
        <v>71</v>
      </c>
      <c r="J127" s="1" t="s">
        <v>10</v>
      </c>
      <c r="K127" s="7" t="s">
        <v>75</v>
      </c>
    </row>
    <row r="128" spans="1:11" x14ac:dyDescent="0.25">
      <c r="A128" s="38">
        <v>1992</v>
      </c>
      <c r="B128" s="69">
        <f t="shared" si="5"/>
        <v>1.5849740000000001</v>
      </c>
      <c r="C128" s="40">
        <v>256516000</v>
      </c>
      <c r="D128" s="81">
        <f t="shared" si="6"/>
        <v>6.1788504420776874E-3</v>
      </c>
    </row>
    <row r="129" spans="1:4" x14ac:dyDescent="0.25">
      <c r="A129" s="37">
        <v>1993</v>
      </c>
      <c r="B129" s="69">
        <f t="shared" si="5"/>
        <v>1.24962</v>
      </c>
      <c r="C129" s="39">
        <v>259131000</v>
      </c>
      <c r="D129" s="81">
        <f t="shared" si="6"/>
        <v>4.8223485418572073E-3</v>
      </c>
    </row>
    <row r="130" spans="1:4" x14ac:dyDescent="0.25">
      <c r="A130" s="38">
        <v>1994</v>
      </c>
      <c r="B130" s="69">
        <f t="shared" si="5"/>
        <v>2.041169</v>
      </c>
      <c r="C130" s="40">
        <v>264061000</v>
      </c>
      <c r="D130" s="81">
        <f t="shared" si="6"/>
        <v>7.7299146788052759E-3</v>
      </c>
    </row>
    <row r="131" spans="1:4" x14ac:dyDescent="0.25">
      <c r="A131" s="37">
        <v>1995</v>
      </c>
      <c r="B131" s="69">
        <f t="shared" si="5"/>
        <v>1.4371849999999999</v>
      </c>
      <c r="C131" s="39">
        <v>266398000</v>
      </c>
      <c r="D131" s="81">
        <f t="shared" si="6"/>
        <v>5.3948790906838641E-3</v>
      </c>
    </row>
    <row r="132" spans="1:4" x14ac:dyDescent="0.25">
      <c r="A132" s="38">
        <v>1996</v>
      </c>
      <c r="B132" s="69">
        <f t="shared" si="5"/>
        <v>1.515906</v>
      </c>
      <c r="C132" s="40">
        <v>268930000</v>
      </c>
      <c r="D132" s="81">
        <f t="shared" si="6"/>
        <v>5.6368051165730862E-3</v>
      </c>
    </row>
    <row r="133" spans="1:4" x14ac:dyDescent="0.25">
      <c r="A133" s="37">
        <v>1997</v>
      </c>
      <c r="B133" s="69">
        <f t="shared" si="5"/>
        <v>1.349143</v>
      </c>
      <c r="C133" s="39">
        <v>271387000</v>
      </c>
      <c r="D133" s="81">
        <f t="shared" si="6"/>
        <v>4.971288234145335E-3</v>
      </c>
    </row>
    <row r="134" spans="1:4" x14ac:dyDescent="0.25">
      <c r="A134" s="38">
        <v>1998</v>
      </c>
      <c r="B134" s="69">
        <f t="shared" si="5"/>
        <v>1.042678</v>
      </c>
      <c r="C134" s="40">
        <v>271584000</v>
      </c>
      <c r="D134" s="81">
        <f t="shared" si="6"/>
        <v>3.8392467892070224E-3</v>
      </c>
    </row>
    <row r="135" spans="1:4" x14ac:dyDescent="0.25">
      <c r="A135" s="37">
        <v>1999</v>
      </c>
      <c r="B135" s="69">
        <f t="shared" si="5"/>
        <v>1.478</v>
      </c>
      <c r="C135" s="39">
        <v>274024000</v>
      </c>
      <c r="D135" s="81">
        <f t="shared" si="6"/>
        <v>5.3936881441041659E-3</v>
      </c>
    </row>
    <row r="136" spans="1:4" x14ac:dyDescent="0.25">
      <c r="A136" s="38">
        <v>2000</v>
      </c>
      <c r="B136" s="69">
        <f t="shared" si="5"/>
        <v>1.979636</v>
      </c>
      <c r="C136" s="40">
        <v>284968955</v>
      </c>
      <c r="D136" s="81">
        <f t="shared" si="6"/>
        <v>6.9468479469982965E-3</v>
      </c>
    </row>
    <row r="137" spans="1:4" x14ac:dyDescent="0.25">
      <c r="A137" s="37">
        <v>2001</v>
      </c>
      <c r="B137" s="69">
        <f t="shared" si="5"/>
        <v>4.2792539999999999</v>
      </c>
      <c r="C137" s="39">
        <v>287625193</v>
      </c>
      <c r="D137" s="81">
        <f t="shared" si="6"/>
        <v>1.4877883106713813E-2</v>
      </c>
    </row>
    <row r="138" spans="1:4" x14ac:dyDescent="0.25">
      <c r="A138" s="38">
        <v>2002</v>
      </c>
      <c r="B138" s="69">
        <f t="shared" si="5"/>
        <v>3.681295</v>
      </c>
      <c r="C138" s="40">
        <v>290107933</v>
      </c>
      <c r="D138" s="81">
        <f t="shared" si="6"/>
        <v>1.2689397914534106E-2</v>
      </c>
    </row>
    <row r="139" spans="1:4" x14ac:dyDescent="0.25">
      <c r="A139" s="37">
        <v>2003</v>
      </c>
      <c r="B139" s="69">
        <f t="shared" si="5"/>
        <v>5.1394549999999999</v>
      </c>
      <c r="C139" s="39">
        <v>292805298</v>
      </c>
      <c r="D139" s="81">
        <f t="shared" si="6"/>
        <v>1.7552465871023961E-2</v>
      </c>
    </row>
    <row r="140" spans="1:4" x14ac:dyDescent="0.25">
      <c r="A140" s="38">
        <v>2004</v>
      </c>
      <c r="B140" s="69">
        <f t="shared" si="5"/>
        <v>8.7669619999999995</v>
      </c>
      <c r="C140" s="40">
        <v>295516599</v>
      </c>
      <c r="D140" s="81">
        <f t="shared" si="6"/>
        <v>2.9666563670760166E-2</v>
      </c>
    </row>
    <row r="141" spans="1:4" x14ac:dyDescent="0.25">
      <c r="A141" s="37">
        <v>2005</v>
      </c>
      <c r="B141" s="69">
        <f t="shared" si="5"/>
        <v>19.191551</v>
      </c>
      <c r="C141" s="39">
        <v>298379912</v>
      </c>
      <c r="D141" s="81">
        <f t="shared" si="6"/>
        <v>6.4319179100770021E-2</v>
      </c>
    </row>
    <row r="142" spans="1:4" x14ac:dyDescent="0.25">
      <c r="A142" s="38">
        <v>2006</v>
      </c>
      <c r="B142" s="69">
        <f t="shared" si="5"/>
        <v>15.957020999999999</v>
      </c>
      <c r="C142" s="40">
        <v>301231207</v>
      </c>
      <c r="D142" s="81">
        <f t="shared" si="6"/>
        <v>5.2972668930679548E-2</v>
      </c>
    </row>
    <row r="143" spans="1:4" x14ac:dyDescent="0.25">
      <c r="A143" s="37">
        <v>2007</v>
      </c>
      <c r="B143" s="69">
        <f t="shared" si="5"/>
        <v>17.968544000000001</v>
      </c>
      <c r="C143" s="39">
        <v>304093966</v>
      </c>
      <c r="D143" s="81">
        <f t="shared" si="6"/>
        <v>5.9088788364843776E-2</v>
      </c>
    </row>
    <row r="144" spans="1:4" x14ac:dyDescent="0.25">
      <c r="A144" s="38">
        <v>2008</v>
      </c>
      <c r="B144" s="69">
        <f t="shared" si="5"/>
        <v>19.799885</v>
      </c>
      <c r="C144" s="40">
        <v>306771529</v>
      </c>
      <c r="D144" s="81">
        <f t="shared" si="6"/>
        <v>6.454277248134066E-2</v>
      </c>
    </row>
    <row r="145" spans="1:10" x14ac:dyDescent="0.25">
      <c r="A145" s="37">
        <v>2009</v>
      </c>
      <c r="B145" s="69">
        <f t="shared" si="5"/>
        <v>18.206178000000001</v>
      </c>
      <c r="C145" s="39">
        <v>308745538</v>
      </c>
      <c r="D145" s="81">
        <f t="shared" si="6"/>
        <v>5.8968230336012173E-2</v>
      </c>
    </row>
    <row r="146" spans="1:10" x14ac:dyDescent="0.25">
      <c r="A146" s="38">
        <v>2010</v>
      </c>
      <c r="B146" s="69">
        <f t="shared" si="5"/>
        <v>23.231349999999999</v>
      </c>
      <c r="C146" s="40">
        <v>309347057</v>
      </c>
      <c r="D146" s="81">
        <f t="shared" si="6"/>
        <v>7.5098015236653756E-2</v>
      </c>
    </row>
    <row r="147" spans="1:10" x14ac:dyDescent="0.25">
      <c r="A147" s="37">
        <v>2011</v>
      </c>
      <c r="B147" s="69">
        <f t="shared" si="5"/>
        <v>22.369783999999999</v>
      </c>
      <c r="C147" s="39">
        <v>311721632</v>
      </c>
      <c r="D147" s="81">
        <f t="shared" si="6"/>
        <v>7.176205211193043E-2</v>
      </c>
    </row>
    <row r="148" spans="1:10" x14ac:dyDescent="0.25">
      <c r="A148" s="38">
        <v>2012</v>
      </c>
      <c r="B148" s="69">
        <f t="shared" si="5"/>
        <v>27.756962999999999</v>
      </c>
      <c r="C148" s="40">
        <v>314112078</v>
      </c>
      <c r="D148" s="81">
        <f t="shared" si="6"/>
        <v>8.8366430150450953E-2</v>
      </c>
    </row>
    <row r="149" spans="1:10" x14ac:dyDescent="0.25">
      <c r="A149" s="37">
        <v>2013</v>
      </c>
      <c r="B149" s="69">
        <f t="shared" si="5"/>
        <v>21.177413000000001</v>
      </c>
      <c r="C149" s="39">
        <v>316497531</v>
      </c>
      <c r="D149" s="81">
        <f t="shared" si="6"/>
        <v>6.6911779479252878E-2</v>
      </c>
    </row>
    <row r="150" spans="1:10" x14ac:dyDescent="0.25">
      <c r="A150" s="38">
        <v>2014</v>
      </c>
      <c r="B150" s="69">
        <f t="shared" si="5"/>
        <v>17.432943000000002</v>
      </c>
      <c r="C150" s="40">
        <v>318857056</v>
      </c>
      <c r="D150" s="81">
        <f t="shared" si="6"/>
        <v>5.4673223226397727E-2</v>
      </c>
    </row>
    <row r="151" spans="1:10" x14ac:dyDescent="0.25">
      <c r="A151" s="37">
        <v>2015</v>
      </c>
      <c r="B151" s="69">
        <f t="shared" si="5"/>
        <v>16.877009000000001</v>
      </c>
      <c r="C151" s="39">
        <v>321418820</v>
      </c>
      <c r="D151" s="81">
        <f t="shared" si="6"/>
        <v>5.2507843193500617E-2</v>
      </c>
    </row>
    <row r="152" spans="1:10" x14ac:dyDescent="0.25">
      <c r="A152" t="s">
        <v>88</v>
      </c>
    </row>
    <row r="154" spans="1:10" x14ac:dyDescent="0.25">
      <c r="A154" s="134" t="s">
        <v>66</v>
      </c>
      <c r="B154" s="134"/>
      <c r="C154" s="134"/>
      <c r="D154" s="134"/>
    </row>
    <row r="155" spans="1:10" ht="75" x14ac:dyDescent="0.25">
      <c r="A155" s="120" t="s">
        <v>3</v>
      </c>
      <c r="B155" s="34" t="s">
        <v>67</v>
      </c>
      <c r="C155" s="34" t="s">
        <v>35</v>
      </c>
      <c r="D155" s="34" t="s">
        <v>132</v>
      </c>
    </row>
    <row r="156" spans="1:10" x14ac:dyDescent="0.25">
      <c r="A156" s="37">
        <v>1991</v>
      </c>
      <c r="B156" s="88">
        <f t="shared" ref="B156:B180" si="7">B65</f>
        <v>4.3739749999999997</v>
      </c>
      <c r="C156" s="39">
        <v>253620000</v>
      </c>
      <c r="D156" s="81">
        <f t="shared" ref="D156:D180" si="8">(B156/C156)*1000000</f>
        <v>1.7246175380490496E-2</v>
      </c>
    </row>
    <row r="157" spans="1:10" x14ac:dyDescent="0.25">
      <c r="A157" s="38">
        <v>1992</v>
      </c>
      <c r="B157" s="88">
        <f t="shared" si="7"/>
        <v>5.581029</v>
      </c>
      <c r="C157" s="40">
        <v>256516000</v>
      </c>
      <c r="D157" s="81">
        <f t="shared" si="8"/>
        <v>2.1757040496499246E-2</v>
      </c>
    </row>
    <row r="158" spans="1:10" x14ac:dyDescent="0.25">
      <c r="A158" s="37">
        <v>1993</v>
      </c>
      <c r="B158" s="88">
        <f t="shared" si="7"/>
        <v>9.8315420000000007</v>
      </c>
      <c r="C158" s="39">
        <v>259131000</v>
      </c>
      <c r="D158" s="81">
        <f t="shared" si="8"/>
        <v>3.7940431673555076E-2</v>
      </c>
      <c r="F158" s="7" t="s">
        <v>77</v>
      </c>
      <c r="I158" s="1" t="s">
        <v>10</v>
      </c>
      <c r="J158" s="7" t="s">
        <v>78</v>
      </c>
    </row>
    <row r="159" spans="1:10" x14ac:dyDescent="0.25">
      <c r="A159" s="38">
        <v>1994</v>
      </c>
      <c r="B159" s="88">
        <f t="shared" si="7"/>
        <v>11.896477000000001</v>
      </c>
      <c r="C159" s="40">
        <v>264061000</v>
      </c>
      <c r="D159" s="81">
        <f t="shared" si="8"/>
        <v>4.5052003135639111E-2</v>
      </c>
    </row>
    <row r="160" spans="1:10" x14ac:dyDescent="0.25">
      <c r="A160" s="37">
        <v>1995</v>
      </c>
      <c r="B160" s="88">
        <f t="shared" si="7"/>
        <v>14.834728999999999</v>
      </c>
      <c r="C160" s="39">
        <v>266398000</v>
      </c>
      <c r="D160" s="81">
        <f t="shared" si="8"/>
        <v>5.5686337735268279E-2</v>
      </c>
    </row>
    <row r="161" spans="1:4" x14ac:dyDescent="0.25">
      <c r="A161" s="38">
        <v>1996</v>
      </c>
      <c r="B161" s="88">
        <f t="shared" si="7"/>
        <v>16.113661</v>
      </c>
      <c r="C161" s="40">
        <v>268930000</v>
      </c>
      <c r="D161" s="81">
        <f t="shared" si="8"/>
        <v>5.9917677462536727E-2</v>
      </c>
    </row>
    <row r="162" spans="1:4" x14ac:dyDescent="0.25">
      <c r="A162" s="37">
        <v>1997</v>
      </c>
      <c r="B162" s="88">
        <f t="shared" si="7"/>
        <v>18.552119000000001</v>
      </c>
      <c r="C162" s="39">
        <v>271387000</v>
      </c>
      <c r="D162" s="81">
        <f t="shared" si="8"/>
        <v>6.8360382037459436E-2</v>
      </c>
    </row>
    <row r="163" spans="1:4" x14ac:dyDescent="0.25">
      <c r="A163" s="38">
        <v>1998</v>
      </c>
      <c r="B163" s="88">
        <f t="shared" si="7"/>
        <v>19.246645999999998</v>
      </c>
      <c r="C163" s="40">
        <v>271584000</v>
      </c>
      <c r="D163" s="81">
        <f t="shared" si="8"/>
        <v>7.0868114469188156E-2</v>
      </c>
    </row>
    <row r="164" spans="1:4" x14ac:dyDescent="0.25">
      <c r="A164" s="37">
        <v>1999</v>
      </c>
      <c r="B164" s="88">
        <f t="shared" si="7"/>
        <v>23.298636000000002</v>
      </c>
      <c r="C164" s="39">
        <v>274024000</v>
      </c>
      <c r="D164" s="81">
        <f t="shared" si="8"/>
        <v>8.5024070884302111E-2</v>
      </c>
    </row>
    <row r="165" spans="1:4" x14ac:dyDescent="0.25">
      <c r="A165" s="38">
        <v>2000</v>
      </c>
      <c r="B165" s="88">
        <f t="shared" si="7"/>
        <v>15.686513999999999</v>
      </c>
      <c r="C165" s="40">
        <v>284968955</v>
      </c>
      <c r="D165" s="81">
        <f t="shared" si="8"/>
        <v>5.504639619428018E-2</v>
      </c>
    </row>
    <row r="166" spans="1:4" x14ac:dyDescent="0.25">
      <c r="A166" s="37">
        <v>2001</v>
      </c>
      <c r="B166" s="88">
        <f t="shared" si="7"/>
        <v>18.772084</v>
      </c>
      <c r="C166" s="39">
        <v>287625193</v>
      </c>
      <c r="D166" s="81">
        <f t="shared" si="8"/>
        <v>6.5265784975935673E-2</v>
      </c>
    </row>
    <row r="167" spans="1:4" x14ac:dyDescent="0.25">
      <c r="A167" s="38">
        <v>2002</v>
      </c>
      <c r="B167" s="88">
        <f t="shared" si="7"/>
        <v>21.117947999999998</v>
      </c>
      <c r="C167" s="40">
        <v>290107933</v>
      </c>
      <c r="D167" s="81">
        <f t="shared" si="8"/>
        <v>7.2793417889747941E-2</v>
      </c>
    </row>
    <row r="168" spans="1:4" x14ac:dyDescent="0.25">
      <c r="A168" s="37">
        <v>2003</v>
      </c>
      <c r="B168" s="88">
        <f t="shared" si="7"/>
        <v>21.255986999999998</v>
      </c>
      <c r="C168" s="39">
        <v>292805298</v>
      </c>
      <c r="D168" s="81">
        <f t="shared" si="8"/>
        <v>7.2594270476622313E-2</v>
      </c>
    </row>
    <row r="169" spans="1:4" x14ac:dyDescent="0.25">
      <c r="A169" s="38">
        <v>2004</v>
      </c>
      <c r="B169" s="88">
        <f t="shared" si="7"/>
        <v>27.791733000000001</v>
      </c>
      <c r="C169" s="40">
        <v>295516599</v>
      </c>
      <c r="D169" s="81">
        <f t="shared" si="8"/>
        <v>9.4044575140768999E-2</v>
      </c>
    </row>
    <row r="170" spans="1:4" x14ac:dyDescent="0.25">
      <c r="A170" s="37">
        <v>2005</v>
      </c>
      <c r="B170" s="88">
        <f t="shared" si="7"/>
        <v>39.698695000000001</v>
      </c>
      <c r="C170" s="39">
        <v>298379912</v>
      </c>
      <c r="D170" s="81">
        <f t="shared" si="8"/>
        <v>0.13304747874582118</v>
      </c>
    </row>
    <row r="171" spans="1:4" x14ac:dyDescent="0.25">
      <c r="A171" s="38">
        <v>2006</v>
      </c>
      <c r="B171" s="88">
        <f t="shared" si="7"/>
        <v>48.112077999999997</v>
      </c>
      <c r="C171" s="40">
        <v>301231207</v>
      </c>
      <c r="D171" s="81">
        <f t="shared" si="8"/>
        <v>0.15971810649751172</v>
      </c>
    </row>
    <row r="172" spans="1:4" x14ac:dyDescent="0.25">
      <c r="A172" s="37">
        <v>2007</v>
      </c>
      <c r="B172" s="88">
        <f t="shared" si="7"/>
        <v>55.234116</v>
      </c>
      <c r="C172" s="39">
        <v>304093966</v>
      </c>
      <c r="D172" s="81">
        <f t="shared" si="8"/>
        <v>0.18163502790449976</v>
      </c>
    </row>
    <row r="173" spans="1:4" x14ac:dyDescent="0.25">
      <c r="A173" s="38">
        <v>2008</v>
      </c>
      <c r="B173" s="88">
        <f t="shared" si="7"/>
        <v>62.739686000000006</v>
      </c>
      <c r="C173" s="40">
        <v>306771529</v>
      </c>
      <c r="D173" s="81">
        <f t="shared" si="8"/>
        <v>0.20451599991862351</v>
      </c>
    </row>
    <row r="174" spans="1:4" x14ac:dyDescent="0.25">
      <c r="A174" s="37">
        <v>2009</v>
      </c>
      <c r="B174" s="88">
        <f t="shared" si="7"/>
        <v>66.556846000000007</v>
      </c>
      <c r="C174" s="39">
        <v>308745538</v>
      </c>
      <c r="D174" s="81">
        <f t="shared" si="8"/>
        <v>0.21557184738974269</v>
      </c>
    </row>
    <row r="175" spans="1:4" x14ac:dyDescent="0.25">
      <c r="A175" s="38">
        <v>2010</v>
      </c>
      <c r="B175" s="88">
        <f t="shared" si="7"/>
        <v>73.196710999999993</v>
      </c>
      <c r="C175" s="40">
        <v>309347057</v>
      </c>
      <c r="D175" s="81">
        <f t="shared" si="8"/>
        <v>0.23661680091561368</v>
      </c>
    </row>
    <row r="176" spans="1:4" x14ac:dyDescent="0.25">
      <c r="A176" s="37">
        <v>2011</v>
      </c>
      <c r="B176" s="88">
        <f t="shared" si="7"/>
        <v>96.406505999999993</v>
      </c>
      <c r="C176" s="39">
        <v>311721632</v>
      </c>
      <c r="D176" s="81">
        <f t="shared" si="8"/>
        <v>0.30927114483989354</v>
      </c>
    </row>
    <row r="177" spans="1:4" x14ac:dyDescent="0.25">
      <c r="A177" s="38">
        <v>2012</v>
      </c>
      <c r="B177" s="88">
        <f t="shared" si="7"/>
        <v>136.154076</v>
      </c>
      <c r="C177" s="40">
        <v>314112078</v>
      </c>
      <c r="D177" s="81">
        <f t="shared" si="8"/>
        <v>0.43345699046949737</v>
      </c>
    </row>
    <row r="178" spans="1:4" x14ac:dyDescent="0.25">
      <c r="A178" s="37">
        <v>2013</v>
      </c>
      <c r="B178" s="88">
        <f t="shared" si="7"/>
        <v>123.074658</v>
      </c>
      <c r="C178" s="39">
        <v>316497531</v>
      </c>
      <c r="D178" s="81">
        <f t="shared" si="8"/>
        <v>0.3888645121847728</v>
      </c>
    </row>
    <row r="179" spans="1:4" x14ac:dyDescent="0.25">
      <c r="A179" s="38">
        <v>2014</v>
      </c>
      <c r="B179" s="88">
        <f t="shared" si="7"/>
        <v>138.232888</v>
      </c>
      <c r="C179" s="40">
        <v>318857056</v>
      </c>
      <c r="D179" s="81">
        <f t="shared" si="8"/>
        <v>0.43352620053043456</v>
      </c>
    </row>
    <row r="180" spans="1:4" x14ac:dyDescent="0.25">
      <c r="A180" s="37">
        <v>2015</v>
      </c>
      <c r="B180" s="88">
        <f t="shared" si="7"/>
        <v>133.12560999999999</v>
      </c>
      <c r="C180" s="39">
        <v>321418820</v>
      </c>
      <c r="D180" s="81">
        <f t="shared" si="8"/>
        <v>0.41418112977951943</v>
      </c>
    </row>
    <row r="181" spans="1:4" x14ac:dyDescent="0.25">
      <c r="A181" t="s">
        <v>88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topLeftCell="A70" zoomScale="110" zoomScaleNormal="110" workbookViewId="0">
      <selection activeCell="E79" sqref="E79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  <col min="12" max="12" width="12.28515625" bestFit="1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121</v>
      </c>
      <c r="D5" s="13" t="s">
        <v>14</v>
      </c>
      <c r="E5" s="14" t="s">
        <v>4</v>
      </c>
    </row>
    <row r="6" spans="2:12" x14ac:dyDescent="0.25">
      <c r="B6" s="10">
        <v>1991</v>
      </c>
      <c r="C6" s="69">
        <f>'Export 09'!B2</f>
        <v>1.0422279999999999</v>
      </c>
      <c r="D6" s="2">
        <v>30.88664</v>
      </c>
      <c r="E6" s="64">
        <f t="shared" ref="E6:E30" si="0">(C6/D6)/100000000</f>
        <v>3.3743650976603469E-10</v>
      </c>
    </row>
    <row r="7" spans="2:12" x14ac:dyDescent="0.25">
      <c r="B7" s="10">
        <v>1992</v>
      </c>
      <c r="C7" s="69">
        <f>'Export 09'!B3</f>
        <v>1.5849740000000001</v>
      </c>
      <c r="D7" s="2">
        <v>36.748779999999996</v>
      </c>
      <c r="E7" s="64">
        <f t="shared" si="0"/>
        <v>4.3129976015530323E-10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69">
        <f>'Export 09'!B4</f>
        <v>1.24962</v>
      </c>
      <c r="D8" s="2">
        <v>54.163779999999996</v>
      </c>
      <c r="E8" s="64">
        <f t="shared" si="0"/>
        <v>2.3071137206450511E-10</v>
      </c>
    </row>
    <row r="9" spans="2:12" x14ac:dyDescent="0.25">
      <c r="B9" s="10">
        <v>1994</v>
      </c>
      <c r="C9" s="69">
        <f>'Export 09'!B5</f>
        <v>2.041169</v>
      </c>
      <c r="D9" s="2">
        <v>82.613830000000007</v>
      </c>
      <c r="E9" s="64">
        <f t="shared" si="0"/>
        <v>2.4707352267774052E-10</v>
      </c>
    </row>
    <row r="10" spans="2:12" x14ac:dyDescent="0.25">
      <c r="B10" s="10">
        <v>1995</v>
      </c>
      <c r="C10" s="69">
        <f>'Export 09'!B6</f>
        <v>1.4371849999999999</v>
      </c>
      <c r="D10" s="2">
        <v>97.478279999999998</v>
      </c>
      <c r="E10" s="64">
        <f t="shared" si="0"/>
        <v>1.4743643404458923E-10</v>
      </c>
    </row>
    <row r="11" spans="2:12" x14ac:dyDescent="0.25">
      <c r="B11" s="10">
        <v>1996</v>
      </c>
      <c r="C11" s="69">
        <f>'Export 09'!B7</f>
        <v>1.515906</v>
      </c>
      <c r="D11" s="2">
        <v>137.40472</v>
      </c>
      <c r="E11" s="64">
        <f t="shared" si="0"/>
        <v>1.1032415771452391E-10</v>
      </c>
    </row>
    <row r="12" spans="2:12" x14ac:dyDescent="0.25">
      <c r="B12" s="10">
        <v>1997</v>
      </c>
      <c r="C12" s="69">
        <f>'Export 09'!B8</f>
        <v>1.349143</v>
      </c>
      <c r="D12" s="2">
        <v>168.40043</v>
      </c>
      <c r="E12" s="64">
        <f t="shared" si="0"/>
        <v>8.0115175477877339E-11</v>
      </c>
    </row>
    <row r="13" spans="2:12" x14ac:dyDescent="0.25">
      <c r="B13" s="10">
        <v>1998</v>
      </c>
      <c r="C13" s="69">
        <f>'Export 09'!B9</f>
        <v>1.042678</v>
      </c>
      <c r="D13" s="2">
        <v>184.64424</v>
      </c>
      <c r="E13" s="64">
        <f t="shared" si="0"/>
        <v>5.6469565473583145E-11</v>
      </c>
    </row>
    <row r="14" spans="2:12" x14ac:dyDescent="0.25">
      <c r="B14" s="10">
        <v>1999</v>
      </c>
      <c r="C14" s="69">
        <f>'Export 09'!B10</f>
        <v>1.478</v>
      </c>
      <c r="D14" s="2">
        <v>182.49723999999998</v>
      </c>
      <c r="E14" s="64">
        <f t="shared" si="0"/>
        <v>8.0987526167519044E-11</v>
      </c>
    </row>
    <row r="15" spans="2:12" x14ac:dyDescent="0.25">
      <c r="B15" s="10">
        <v>2000</v>
      </c>
      <c r="C15" s="69">
        <f>'Export 09'!B11</f>
        <v>1.979636</v>
      </c>
      <c r="D15" s="2">
        <v>173.83799999999999</v>
      </c>
      <c r="E15" s="64">
        <f t="shared" si="0"/>
        <v>1.1387820844694486E-10</v>
      </c>
    </row>
    <row r="16" spans="2:12" x14ac:dyDescent="0.25">
      <c r="B16" s="10">
        <v>2001</v>
      </c>
      <c r="C16" s="69">
        <f>'Export 09'!B12</f>
        <v>4.2792539999999999</v>
      </c>
      <c r="D16" s="2">
        <v>169.57254999999998</v>
      </c>
      <c r="E16" s="64">
        <f t="shared" si="0"/>
        <v>2.5235534878728897E-10</v>
      </c>
    </row>
    <row r="17" spans="2:5" x14ac:dyDescent="0.25">
      <c r="B17" s="10">
        <v>2002</v>
      </c>
      <c r="C17" s="69">
        <f>'Export 09'!B13</f>
        <v>3.681295</v>
      </c>
      <c r="D17" s="2">
        <v>193.08387999999999</v>
      </c>
      <c r="E17" s="64">
        <f t="shared" si="0"/>
        <v>1.906578115169428E-10</v>
      </c>
    </row>
    <row r="18" spans="2:5" x14ac:dyDescent="0.25">
      <c r="B18" s="10">
        <v>2003</v>
      </c>
      <c r="C18" s="69">
        <f>'Export 09'!B14</f>
        <v>5.1394549999999999</v>
      </c>
      <c r="D18" s="2">
        <v>203.78914</v>
      </c>
      <c r="E18" s="64">
        <f t="shared" si="0"/>
        <v>2.5219474403788149E-10</v>
      </c>
    </row>
    <row r="19" spans="2:5" x14ac:dyDescent="0.25">
      <c r="B19" s="10">
        <v>2004</v>
      </c>
      <c r="C19" s="69">
        <f>'Export 09'!B15</f>
        <v>8.7669619999999995</v>
      </c>
      <c r="D19" s="2">
        <v>220.41551999999999</v>
      </c>
      <c r="E19" s="64">
        <f t="shared" si="0"/>
        <v>3.9774703705074852E-10</v>
      </c>
    </row>
    <row r="20" spans="2:5" x14ac:dyDescent="0.25">
      <c r="B20" s="10">
        <v>2005</v>
      </c>
      <c r="C20" s="69">
        <f>'Export 09'!B16</f>
        <v>19.191551</v>
      </c>
      <c r="D20" s="2">
        <v>255.02369000000002</v>
      </c>
      <c r="E20" s="64">
        <f t="shared" si="0"/>
        <v>7.525399307021241E-10</v>
      </c>
    </row>
    <row r="21" spans="2:5" x14ac:dyDescent="0.25">
      <c r="B21" s="10">
        <v>2006</v>
      </c>
      <c r="C21" s="69">
        <f>'Export 09'!B17</f>
        <v>15.957020999999999</v>
      </c>
      <c r="D21" s="2">
        <v>289.62955999999997</v>
      </c>
      <c r="E21" s="64">
        <f t="shared" si="0"/>
        <v>5.5094587030412231E-10</v>
      </c>
    </row>
    <row r="22" spans="2:5" x14ac:dyDescent="0.25">
      <c r="B22" s="10">
        <v>2007</v>
      </c>
      <c r="C22" s="69">
        <f>'Export 09'!B18</f>
        <v>17.968544000000001</v>
      </c>
      <c r="D22" s="2">
        <v>315.86653999999999</v>
      </c>
      <c r="E22" s="64">
        <f t="shared" si="0"/>
        <v>5.6886506560650595E-10</v>
      </c>
    </row>
    <row r="23" spans="2:5" x14ac:dyDescent="0.25">
      <c r="B23" s="10">
        <v>2008</v>
      </c>
      <c r="C23" s="69">
        <f>'Export 09'!B19</f>
        <v>19.799885</v>
      </c>
      <c r="D23" s="2">
        <v>356.99453000000005</v>
      </c>
      <c r="E23" s="64">
        <f t="shared" si="0"/>
        <v>5.54627125519262E-10</v>
      </c>
    </row>
    <row r="24" spans="2:5" x14ac:dyDescent="0.25">
      <c r="B24" s="10">
        <v>2009</v>
      </c>
      <c r="C24" s="69">
        <f>'Export 09'!B20</f>
        <v>18.206178000000001</v>
      </c>
      <c r="D24" s="2">
        <v>413.96373999999997</v>
      </c>
      <c r="E24" s="64">
        <f t="shared" si="0"/>
        <v>4.3980127341587945E-10</v>
      </c>
    </row>
    <row r="25" spans="2:5" x14ac:dyDescent="0.25">
      <c r="B25" s="10">
        <v>2010</v>
      </c>
      <c r="C25" s="69">
        <f>'Export 09'!B21</f>
        <v>23.231349999999999</v>
      </c>
      <c r="D25" s="2">
        <v>476.72912000000002</v>
      </c>
      <c r="E25" s="64">
        <f t="shared" si="0"/>
        <v>4.8730713156351765E-10</v>
      </c>
    </row>
    <row r="26" spans="2:5" x14ac:dyDescent="0.25">
      <c r="B26" s="10">
        <v>2011</v>
      </c>
      <c r="C26" s="69">
        <f>'Export 09'!B22</f>
        <v>22.369783999999999</v>
      </c>
      <c r="D26" s="2">
        <v>449.90528999999998</v>
      </c>
      <c r="E26" s="64">
        <f t="shared" si="0"/>
        <v>4.9721095744395444E-10</v>
      </c>
    </row>
    <row r="27" spans="2:5" x14ac:dyDescent="0.25">
      <c r="B27" s="10">
        <v>2012</v>
      </c>
      <c r="C27" s="69">
        <f>'Export 09'!B23</f>
        <v>27.756962999999999</v>
      </c>
      <c r="D27" s="2">
        <v>494.70812999999998</v>
      </c>
      <c r="E27" s="64">
        <f t="shared" si="0"/>
        <v>5.6107755900433653E-10</v>
      </c>
    </row>
    <row r="28" spans="2:5" x14ac:dyDescent="0.25">
      <c r="B28" s="10">
        <v>2013</v>
      </c>
      <c r="C28" s="69">
        <f>'Export 09'!B24</f>
        <v>21.177413000000001</v>
      </c>
      <c r="D28" s="2">
        <v>585.44633999999996</v>
      </c>
      <c r="E28" s="64">
        <f t="shared" si="0"/>
        <v>3.6173106829910326E-10</v>
      </c>
    </row>
    <row r="29" spans="2:5" x14ac:dyDescent="0.25">
      <c r="B29" s="10">
        <v>2014</v>
      </c>
      <c r="C29" s="69">
        <f>'Export 09'!B25</f>
        <v>17.432943000000002</v>
      </c>
      <c r="D29" s="2">
        <v>607.30944999999997</v>
      </c>
      <c r="E29" s="64">
        <f t="shared" si="0"/>
        <v>2.8705206217357565E-10</v>
      </c>
    </row>
    <row r="30" spans="2:5" x14ac:dyDescent="0.25">
      <c r="B30" s="11">
        <v>2015</v>
      </c>
      <c r="C30" s="69">
        <f>'Export 09'!B26</f>
        <v>16.877009000000001</v>
      </c>
      <c r="D30" s="2">
        <v>645.33130000000006</v>
      </c>
      <c r="E30" s="64">
        <f t="shared" si="0"/>
        <v>2.6152472381240454E-10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</row>
    <row r="36" spans="2:12" ht="60" x14ac:dyDescent="0.25">
      <c r="B36" s="12" t="s">
        <v>3</v>
      </c>
      <c r="C36" s="13" t="s">
        <v>16</v>
      </c>
      <c r="D36" s="13" t="s">
        <v>14</v>
      </c>
      <c r="E36" s="14" t="s">
        <v>81</v>
      </c>
    </row>
    <row r="37" spans="2:12" x14ac:dyDescent="0.25">
      <c r="B37" s="10">
        <v>1991</v>
      </c>
      <c r="C37" s="69">
        <f>' Per Cápita 09'!B36</f>
        <v>3.331747</v>
      </c>
      <c r="D37" s="2">
        <v>30.88664</v>
      </c>
      <c r="E37" s="41">
        <f t="shared" ref="E37:E61" si="1">(C37/D37)/10000000</f>
        <v>1.0787016651859833E-8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69">
        <f>' Per Cápita 09'!B37</f>
        <v>3.9960550000000001</v>
      </c>
      <c r="D38" s="2">
        <v>36.748779999999996</v>
      </c>
      <c r="E38" s="41">
        <f t="shared" si="1"/>
        <v>1.0873980034167121E-8</v>
      </c>
    </row>
    <row r="39" spans="2:12" x14ac:dyDescent="0.25">
      <c r="B39" s="10">
        <v>1993</v>
      </c>
      <c r="C39" s="69">
        <f>' Per Cápita 09'!B38</f>
        <v>8.5819220000000005</v>
      </c>
      <c r="D39" s="2">
        <v>54.163779999999996</v>
      </c>
      <c r="E39" s="41">
        <f t="shared" si="1"/>
        <v>1.5844392691942848E-8</v>
      </c>
    </row>
    <row r="40" spans="2:12" x14ac:dyDescent="0.25">
      <c r="B40" s="10">
        <v>1994</v>
      </c>
      <c r="C40" s="69">
        <f>' Per Cápita 09'!B39</f>
        <v>9.8553080000000008</v>
      </c>
      <c r="D40" s="2">
        <v>82.613830000000007</v>
      </c>
      <c r="E40" s="41">
        <f t="shared" si="1"/>
        <v>1.1929368242581175E-8</v>
      </c>
    </row>
    <row r="41" spans="2:12" x14ac:dyDescent="0.25">
      <c r="B41" s="10">
        <v>1995</v>
      </c>
      <c r="C41" s="69">
        <f>' Per Cápita 09'!B40</f>
        <v>13.397544</v>
      </c>
      <c r="D41" s="2">
        <v>97.478279999999998</v>
      </c>
      <c r="E41" s="41">
        <f t="shared" si="1"/>
        <v>1.3744132539064089E-8</v>
      </c>
    </row>
    <row r="42" spans="2:12" x14ac:dyDescent="0.25">
      <c r="B42" s="10">
        <v>1996</v>
      </c>
      <c r="C42" s="69">
        <f>' Per Cápita 09'!B41</f>
        <v>14.597754999999999</v>
      </c>
      <c r="D42" s="2">
        <v>137.40472</v>
      </c>
      <c r="E42" s="41">
        <f t="shared" si="1"/>
        <v>1.0623910881664036E-8</v>
      </c>
    </row>
    <row r="43" spans="2:12" x14ac:dyDescent="0.25">
      <c r="B43" s="10">
        <v>1997</v>
      </c>
      <c r="C43" s="69">
        <f>' Per Cápita 09'!B42</f>
        <v>17.202976</v>
      </c>
      <c r="D43" s="2">
        <v>168.40043</v>
      </c>
      <c r="E43" s="41">
        <f t="shared" si="1"/>
        <v>1.0215517858238247E-8</v>
      </c>
    </row>
    <row r="44" spans="2:12" x14ac:dyDescent="0.25">
      <c r="B44" s="10">
        <v>1998</v>
      </c>
      <c r="C44" s="69">
        <f>' Per Cápita 09'!B43</f>
        <v>18.203968</v>
      </c>
      <c r="D44" s="2">
        <v>184.64424</v>
      </c>
      <c r="E44" s="41">
        <f t="shared" si="1"/>
        <v>9.8589417140767566E-9</v>
      </c>
    </row>
    <row r="45" spans="2:12" x14ac:dyDescent="0.25">
      <c r="B45" s="10">
        <v>1999</v>
      </c>
      <c r="C45" s="69">
        <f>' Per Cápita 09'!B44</f>
        <v>21.820636</v>
      </c>
      <c r="D45" s="2">
        <v>182.49723999999998</v>
      </c>
      <c r="E45" s="41">
        <f t="shared" si="1"/>
        <v>1.1956693701230771E-8</v>
      </c>
    </row>
    <row r="46" spans="2:12" x14ac:dyDescent="0.25">
      <c r="B46" s="10">
        <v>2000</v>
      </c>
      <c r="C46" s="69">
        <f>' Per Cápita 09'!B45</f>
        <v>13.706878</v>
      </c>
      <c r="D46" s="2">
        <v>173.83799999999999</v>
      </c>
      <c r="E46" s="41">
        <f t="shared" si="1"/>
        <v>7.8848571658670719E-9</v>
      </c>
    </row>
    <row r="47" spans="2:12" x14ac:dyDescent="0.25">
      <c r="B47" s="10">
        <v>2001</v>
      </c>
      <c r="C47" s="69">
        <f>' Per Cápita 09'!B46</f>
        <v>14.49283</v>
      </c>
      <c r="D47" s="2">
        <v>169.57254999999998</v>
      </c>
      <c r="E47" s="41">
        <f t="shared" si="1"/>
        <v>8.5466840004470073E-9</v>
      </c>
    </row>
    <row r="48" spans="2:12" x14ac:dyDescent="0.25">
      <c r="B48" s="10">
        <v>2002</v>
      </c>
      <c r="C48" s="69">
        <f>' Per Cápita 09'!B47</f>
        <v>17.436653</v>
      </c>
      <c r="D48" s="2">
        <v>193.08387999999999</v>
      </c>
      <c r="E48" s="41">
        <f t="shared" si="1"/>
        <v>9.0306104269294784E-9</v>
      </c>
    </row>
    <row r="49" spans="2:6" x14ac:dyDescent="0.25">
      <c r="B49" s="10">
        <v>2003</v>
      </c>
      <c r="C49" s="69">
        <f>' Per Cápita 09'!B48</f>
        <v>16.116531999999999</v>
      </c>
      <c r="D49" s="2">
        <v>203.78914</v>
      </c>
      <c r="E49" s="41">
        <f t="shared" si="1"/>
        <v>7.9084351599893881E-9</v>
      </c>
    </row>
    <row r="50" spans="2:6" x14ac:dyDescent="0.25">
      <c r="B50" s="10">
        <v>2004</v>
      </c>
      <c r="C50" s="69">
        <f>' Per Cápita 09'!B49</f>
        <v>19.024771000000001</v>
      </c>
      <c r="D50" s="2">
        <v>220.41551999999999</v>
      </c>
      <c r="E50" s="41">
        <f t="shared" si="1"/>
        <v>8.6313209705015344E-9</v>
      </c>
    </row>
    <row r="51" spans="2:6" x14ac:dyDescent="0.25">
      <c r="B51" s="10">
        <v>2005</v>
      </c>
      <c r="C51" s="69">
        <f>' Per Cápita 09'!B50</f>
        <v>20.507144</v>
      </c>
      <c r="D51" s="2">
        <v>255.02369000000002</v>
      </c>
      <c r="E51" s="41">
        <f t="shared" si="1"/>
        <v>8.0412702051327078E-9</v>
      </c>
    </row>
    <row r="52" spans="2:6" x14ac:dyDescent="0.25">
      <c r="B52" s="10">
        <v>2006</v>
      </c>
      <c r="C52" s="69">
        <f>' Per Cápita 09'!B51</f>
        <v>32.155056999999999</v>
      </c>
      <c r="D52" s="2">
        <v>289.62955999999997</v>
      </c>
      <c r="E52" s="41">
        <f t="shared" si="1"/>
        <v>1.1102132323786288E-8</v>
      </c>
    </row>
    <row r="53" spans="2:6" x14ac:dyDescent="0.25">
      <c r="B53" s="10">
        <v>2007</v>
      </c>
      <c r="C53" s="69">
        <f>' Per Cápita 09'!B52</f>
        <v>37.265571999999999</v>
      </c>
      <c r="D53" s="2">
        <v>315.86653999999999</v>
      </c>
      <c r="E53" s="41">
        <f t="shared" si="1"/>
        <v>1.1797885271418745E-8</v>
      </c>
    </row>
    <row r="54" spans="2:6" x14ac:dyDescent="0.25">
      <c r="B54" s="10">
        <v>2008</v>
      </c>
      <c r="C54" s="69">
        <f>' Per Cápita 09'!B53</f>
        <v>42.939801000000003</v>
      </c>
      <c r="D54" s="2">
        <v>356.99453000000005</v>
      </c>
      <c r="E54" s="41">
        <f t="shared" si="1"/>
        <v>1.2028139758892103E-8</v>
      </c>
    </row>
    <row r="55" spans="2:6" x14ac:dyDescent="0.25">
      <c r="B55" s="10">
        <v>2009</v>
      </c>
      <c r="C55" s="69">
        <f>' Per Cápita 09'!B54</f>
        <v>48.350667999999999</v>
      </c>
      <c r="D55" s="2">
        <v>413.96373999999997</v>
      </c>
      <c r="E55" s="41">
        <f t="shared" si="1"/>
        <v>1.1679928295169042E-8</v>
      </c>
    </row>
    <row r="56" spans="2:6" x14ac:dyDescent="0.25">
      <c r="B56" s="10">
        <v>2010</v>
      </c>
      <c r="C56" s="69">
        <f>' Per Cápita 09'!B55</f>
        <v>49.965361000000001</v>
      </c>
      <c r="D56" s="2">
        <v>476.72912000000002</v>
      </c>
      <c r="E56" s="41">
        <f t="shared" si="1"/>
        <v>1.0480870352538985E-8</v>
      </c>
    </row>
    <row r="57" spans="2:6" x14ac:dyDescent="0.25">
      <c r="B57" s="10">
        <v>2011</v>
      </c>
      <c r="C57" s="69">
        <f>' Per Cápita 09'!B56</f>
        <v>74.036721999999997</v>
      </c>
      <c r="D57" s="2">
        <v>449.90528999999998</v>
      </c>
      <c r="E57" s="41">
        <f t="shared" si="1"/>
        <v>1.6456068342739425E-8</v>
      </c>
    </row>
    <row r="58" spans="2:6" x14ac:dyDescent="0.25">
      <c r="B58" s="10">
        <v>2012</v>
      </c>
      <c r="C58" s="69">
        <f>' Per Cápita 09'!B57</f>
        <v>108.397113</v>
      </c>
      <c r="D58" s="2">
        <v>494.70812999999998</v>
      </c>
      <c r="E58" s="41">
        <f t="shared" si="1"/>
        <v>2.1911326381476691E-8</v>
      </c>
    </row>
    <row r="59" spans="2:6" x14ac:dyDescent="0.25">
      <c r="B59" s="10">
        <v>2013</v>
      </c>
      <c r="C59" s="69">
        <f>' Per Cápita 09'!B58</f>
        <v>101.897245</v>
      </c>
      <c r="D59" s="2">
        <v>585.44633999999996</v>
      </c>
      <c r="E59" s="41">
        <f t="shared" si="1"/>
        <v>1.7405052869576398E-8</v>
      </c>
    </row>
    <row r="60" spans="2:6" x14ac:dyDescent="0.25">
      <c r="B60" s="10">
        <v>2014</v>
      </c>
      <c r="C60" s="69">
        <f>' Per Cápita 09'!B59</f>
        <v>120.79994499999999</v>
      </c>
      <c r="D60" s="2">
        <v>607.30944999999997</v>
      </c>
      <c r="E60" s="41">
        <f t="shared" si="1"/>
        <v>1.9891003672015972E-8</v>
      </c>
    </row>
    <row r="61" spans="2:6" x14ac:dyDescent="0.25">
      <c r="B61" s="11">
        <v>2015</v>
      </c>
      <c r="C61" s="69">
        <f>' Per Cápita 09'!B60</f>
        <v>116.24860099999999</v>
      </c>
      <c r="D61" s="2">
        <v>645.33130000000006</v>
      </c>
      <c r="E61" s="41">
        <f t="shared" si="1"/>
        <v>1.801378625211577E-8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90" x14ac:dyDescent="0.25">
      <c r="B67" s="12" t="s">
        <v>3</v>
      </c>
      <c r="C67" s="13" t="s">
        <v>83</v>
      </c>
      <c r="D67" s="13" t="s">
        <v>87</v>
      </c>
      <c r="E67" s="14" t="s">
        <v>82</v>
      </c>
    </row>
    <row r="68" spans="2:12" x14ac:dyDescent="0.25">
      <c r="B68" s="10">
        <v>1991</v>
      </c>
      <c r="C68" s="111">
        <f>' Per Cápita 09'!B65</f>
        <v>4.3739749999999997</v>
      </c>
      <c r="D68" s="2">
        <f t="shared" ref="D68:D92" si="2">D37*2</f>
        <v>61.77328</v>
      </c>
      <c r="E68" s="64">
        <f t="shared" ref="E68:E92" si="3">(C68/D68)/100000000</f>
        <v>7.0806908747600901E-10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111">
        <f>' Per Cápita 09'!B66</f>
        <v>5.581029</v>
      </c>
      <c r="D69" s="2">
        <f t="shared" si="2"/>
        <v>73.497559999999993</v>
      </c>
      <c r="E69" s="64">
        <f t="shared" si="3"/>
        <v>7.5934888178600769E-10</v>
      </c>
    </row>
    <row r="70" spans="2:12" x14ac:dyDescent="0.25">
      <c r="B70" s="10">
        <v>1993</v>
      </c>
      <c r="C70" s="111">
        <f>' Per Cápita 09'!B67</f>
        <v>9.8315420000000007</v>
      </c>
      <c r="D70" s="2">
        <f t="shared" si="2"/>
        <v>108.32755999999999</v>
      </c>
      <c r="E70" s="64">
        <f t="shared" si="3"/>
        <v>9.0757532062939492E-10</v>
      </c>
    </row>
    <row r="71" spans="2:12" x14ac:dyDescent="0.25">
      <c r="B71" s="10">
        <v>1994</v>
      </c>
      <c r="C71" s="111">
        <f>' Per Cápita 09'!B68</f>
        <v>11.896477000000001</v>
      </c>
      <c r="D71" s="2">
        <f t="shared" si="2"/>
        <v>165.22766000000001</v>
      </c>
      <c r="E71" s="64">
        <f t="shared" si="3"/>
        <v>7.2000517346792904E-10</v>
      </c>
    </row>
    <row r="72" spans="2:12" x14ac:dyDescent="0.25">
      <c r="B72" s="10">
        <v>1995</v>
      </c>
      <c r="C72" s="111">
        <f>' Per Cápita 09'!B69</f>
        <v>14.834728999999999</v>
      </c>
      <c r="D72" s="2">
        <f t="shared" si="2"/>
        <v>194.95656</v>
      </c>
      <c r="E72" s="64">
        <f t="shared" si="3"/>
        <v>7.6092484397549894E-10</v>
      </c>
    </row>
    <row r="73" spans="2:12" x14ac:dyDescent="0.25">
      <c r="B73" s="10">
        <v>1996</v>
      </c>
      <c r="C73" s="111">
        <f>' Per Cápita 09'!B70</f>
        <v>16.113661</v>
      </c>
      <c r="D73" s="2">
        <f t="shared" si="2"/>
        <v>274.80944</v>
      </c>
      <c r="E73" s="64">
        <f t="shared" si="3"/>
        <v>5.8635762294046379E-10</v>
      </c>
    </row>
    <row r="74" spans="2:12" x14ac:dyDescent="0.25">
      <c r="B74" s="10">
        <v>1997</v>
      </c>
      <c r="C74" s="111">
        <f>' Per Cápita 09'!B71</f>
        <v>18.552119000000001</v>
      </c>
      <c r="D74" s="2">
        <f t="shared" si="2"/>
        <v>336.80086</v>
      </c>
      <c r="E74" s="64">
        <f t="shared" si="3"/>
        <v>5.5083348065085108E-10</v>
      </c>
    </row>
    <row r="75" spans="2:12" x14ac:dyDescent="0.25">
      <c r="B75" s="10">
        <v>1998</v>
      </c>
      <c r="C75" s="111">
        <f>' Per Cápita 09'!B72</f>
        <v>19.246645999999998</v>
      </c>
      <c r="D75" s="2">
        <f t="shared" si="2"/>
        <v>369.28847999999999</v>
      </c>
      <c r="E75" s="64">
        <f t="shared" si="3"/>
        <v>5.2118186844062931E-10</v>
      </c>
    </row>
    <row r="76" spans="2:12" x14ac:dyDescent="0.25">
      <c r="B76" s="10">
        <v>1999</v>
      </c>
      <c r="C76" s="111">
        <f>' Per Cápita 09'!B73</f>
        <v>23.298636000000002</v>
      </c>
      <c r="D76" s="2">
        <f t="shared" si="2"/>
        <v>364.99447999999995</v>
      </c>
      <c r="E76" s="64">
        <f t="shared" si="3"/>
        <v>6.3832844814529804E-10</v>
      </c>
    </row>
    <row r="77" spans="2:12" x14ac:dyDescent="0.25">
      <c r="B77" s="10">
        <v>2000</v>
      </c>
      <c r="C77" s="111">
        <f>' Per Cápita 09'!B74</f>
        <v>15.686513999999999</v>
      </c>
      <c r="D77" s="2">
        <f t="shared" si="2"/>
        <v>347.67599999999999</v>
      </c>
      <c r="E77" s="64">
        <f t="shared" si="3"/>
        <v>4.5118196251682598E-10</v>
      </c>
    </row>
    <row r="78" spans="2:12" x14ac:dyDescent="0.25">
      <c r="B78" s="10">
        <v>2001</v>
      </c>
      <c r="C78" s="111">
        <f>' Per Cápita 09'!B75</f>
        <v>18.772084</v>
      </c>
      <c r="D78" s="2">
        <f t="shared" si="2"/>
        <v>339.14509999999996</v>
      </c>
      <c r="E78" s="64">
        <f t="shared" si="3"/>
        <v>5.5351187441599494E-10</v>
      </c>
    </row>
    <row r="79" spans="2:12" x14ac:dyDescent="0.25">
      <c r="B79" s="10">
        <v>2002</v>
      </c>
      <c r="C79" s="111">
        <f>' Per Cápita 09'!B76</f>
        <v>21.117947999999998</v>
      </c>
      <c r="D79" s="2">
        <f t="shared" si="2"/>
        <v>386.16775999999999</v>
      </c>
      <c r="E79" s="64">
        <f t="shared" si="3"/>
        <v>5.4685942710494526E-10</v>
      </c>
    </row>
    <row r="80" spans="2:12" x14ac:dyDescent="0.25">
      <c r="B80" s="10">
        <v>2003</v>
      </c>
      <c r="C80" s="111">
        <f>' Per Cápita 09'!B77</f>
        <v>21.255986999999998</v>
      </c>
      <c r="D80" s="2">
        <f t="shared" si="2"/>
        <v>407.57828000000001</v>
      </c>
      <c r="E80" s="64">
        <f t="shared" si="3"/>
        <v>5.2151913001841017E-10</v>
      </c>
    </row>
    <row r="81" spans="2:5" x14ac:dyDescent="0.25">
      <c r="B81" s="10">
        <v>2004</v>
      </c>
      <c r="C81" s="111">
        <f>' Per Cápita 09'!B78</f>
        <v>27.791733000000001</v>
      </c>
      <c r="D81" s="2">
        <f t="shared" si="2"/>
        <v>440.83103999999997</v>
      </c>
      <c r="E81" s="64">
        <f t="shared" si="3"/>
        <v>6.3043956705045095E-10</v>
      </c>
    </row>
    <row r="82" spans="2:5" x14ac:dyDescent="0.25">
      <c r="B82" s="10">
        <v>2005</v>
      </c>
      <c r="C82" s="111">
        <f>' Per Cápita 09'!B79</f>
        <v>39.698695000000001</v>
      </c>
      <c r="D82" s="2">
        <f t="shared" si="2"/>
        <v>510.04738000000003</v>
      </c>
      <c r="E82" s="64">
        <f t="shared" si="3"/>
        <v>7.7833347560769745E-10</v>
      </c>
    </row>
    <row r="83" spans="2:5" x14ac:dyDescent="0.25">
      <c r="B83" s="10">
        <v>2006</v>
      </c>
      <c r="C83" s="111">
        <f>' Per Cápita 09'!B80</f>
        <v>48.112077999999997</v>
      </c>
      <c r="D83" s="2">
        <f t="shared" si="2"/>
        <v>579.25911999999994</v>
      </c>
      <c r="E83" s="64">
        <f t="shared" si="3"/>
        <v>8.3057955134137552E-10</v>
      </c>
    </row>
    <row r="84" spans="2:5" x14ac:dyDescent="0.25">
      <c r="B84" s="10">
        <v>2007</v>
      </c>
      <c r="C84" s="111">
        <f>' Per Cápita 09'!B81</f>
        <v>55.234116</v>
      </c>
      <c r="D84" s="2">
        <f t="shared" si="2"/>
        <v>631.73307999999997</v>
      </c>
      <c r="E84" s="64">
        <f t="shared" si="3"/>
        <v>8.743267963741902E-10</v>
      </c>
    </row>
    <row r="85" spans="2:5" x14ac:dyDescent="0.25">
      <c r="B85" s="10">
        <v>2008</v>
      </c>
      <c r="C85" s="111">
        <f>' Per Cápita 09'!B82</f>
        <v>62.739686000000006</v>
      </c>
      <c r="D85" s="2">
        <f t="shared" si="2"/>
        <v>713.98906000000011</v>
      </c>
      <c r="E85" s="64">
        <f t="shared" si="3"/>
        <v>8.7872055070423625E-10</v>
      </c>
    </row>
    <row r="86" spans="2:5" x14ac:dyDescent="0.25">
      <c r="B86" s="10">
        <v>2009</v>
      </c>
      <c r="C86" s="111">
        <f>' Per Cápita 09'!B83</f>
        <v>66.556846000000007</v>
      </c>
      <c r="D86" s="2">
        <f t="shared" si="2"/>
        <v>827.92747999999995</v>
      </c>
      <c r="E86" s="64">
        <f t="shared" si="3"/>
        <v>8.0389705146639195E-10</v>
      </c>
    </row>
    <row r="87" spans="2:5" x14ac:dyDescent="0.25">
      <c r="B87" s="10">
        <v>2010</v>
      </c>
      <c r="C87" s="111">
        <f>' Per Cápita 09'!B84</f>
        <v>73.196710999999993</v>
      </c>
      <c r="D87" s="2">
        <f t="shared" si="2"/>
        <v>953.45824000000005</v>
      </c>
      <c r="E87" s="64">
        <f t="shared" si="3"/>
        <v>7.6769708340870797E-10</v>
      </c>
    </row>
    <row r="88" spans="2:5" x14ac:dyDescent="0.25">
      <c r="B88" s="10">
        <v>2011</v>
      </c>
      <c r="C88" s="111">
        <f>' Per Cápita 09'!B85</f>
        <v>96.406505999999993</v>
      </c>
      <c r="D88" s="2">
        <f t="shared" si="2"/>
        <v>899.81057999999996</v>
      </c>
      <c r="E88" s="64">
        <f t="shared" si="3"/>
        <v>1.0714088958589483E-9</v>
      </c>
    </row>
    <row r="89" spans="2:5" x14ac:dyDescent="0.25">
      <c r="B89" s="10">
        <v>2012</v>
      </c>
      <c r="C89" s="111">
        <f>' Per Cápita 09'!B86</f>
        <v>136.154076</v>
      </c>
      <c r="D89" s="2">
        <f t="shared" si="2"/>
        <v>989.41625999999997</v>
      </c>
      <c r="E89" s="64">
        <f t="shared" si="3"/>
        <v>1.3761050985760028E-9</v>
      </c>
    </row>
    <row r="90" spans="2:5" x14ac:dyDescent="0.25">
      <c r="B90" s="10">
        <v>2013</v>
      </c>
      <c r="C90" s="111">
        <f>' Per Cápita 09'!B87</f>
        <v>123.074658</v>
      </c>
      <c r="D90" s="2">
        <f t="shared" si="2"/>
        <v>1170.8926799999999</v>
      </c>
      <c r="E90" s="64">
        <f t="shared" si="3"/>
        <v>1.0511181776283716E-9</v>
      </c>
    </row>
    <row r="91" spans="2:5" x14ac:dyDescent="0.25">
      <c r="B91" s="10">
        <v>2014</v>
      </c>
      <c r="C91" s="111">
        <f>' Per Cápita 09'!B88</f>
        <v>138.232888</v>
      </c>
      <c r="D91" s="2">
        <f t="shared" si="2"/>
        <v>1214.6188999999999</v>
      </c>
      <c r="E91" s="64">
        <f t="shared" si="3"/>
        <v>1.1380762146875863E-9</v>
      </c>
    </row>
    <row r="92" spans="2:5" x14ac:dyDescent="0.25">
      <c r="B92" s="11">
        <v>2015</v>
      </c>
      <c r="C92" s="111">
        <f>' Per Cápita 09'!B89</f>
        <v>133.12560999999999</v>
      </c>
      <c r="D92" s="2">
        <f t="shared" si="2"/>
        <v>1290.6626000000001</v>
      </c>
      <c r="E92" s="64">
        <f t="shared" si="3"/>
        <v>1.0314516745119908E-9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A30" zoomScaleNormal="100" workbookViewId="0">
      <selection activeCell="E34" sqref="E34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  <col min="15" max="16" width="13" bestFit="1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19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74">
        <f>'Balanza c 09'!B2</f>
        <v>-2.2895190000000003</v>
      </c>
      <c r="C5" s="27">
        <v>881.41649700000005</v>
      </c>
      <c r="D5" s="2">
        <v>1806.394</v>
      </c>
      <c r="E5" s="5">
        <v>218.072048</v>
      </c>
      <c r="F5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-2.0823491162429526E-3</v>
      </c>
      <c r="G5" s="7" t="s">
        <v>96</v>
      </c>
      <c r="L5" s="49" t="s">
        <v>97</v>
      </c>
    </row>
    <row r="6" spans="1:17" x14ac:dyDescent="0.25">
      <c r="A6" s="10">
        <v>1992</v>
      </c>
      <c r="B6" s="74">
        <f>'Balanza c 09'!B3</f>
        <v>-2.4110810000000003</v>
      </c>
      <c r="C6" s="27">
        <v>983.24995899999999</v>
      </c>
      <c r="D6" s="2">
        <v>3152.6379999999999</v>
      </c>
      <c r="E6" s="5">
        <v>433.62799100000001</v>
      </c>
      <c r="F6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-1.7016857379988164E-3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74">
        <f>'Balanza c 09'!B4</f>
        <v>-7.3323020000000003</v>
      </c>
      <c r="C7" s="27">
        <v>959.41936999999996</v>
      </c>
      <c r="D7" s="2">
        <v>3215.2869999999998</v>
      </c>
      <c r="E7" s="5">
        <v>473.60294699999997</v>
      </c>
      <c r="F7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-5.1166697915424027E-3</v>
      </c>
      <c r="G7" s="1"/>
      <c r="M7" s="49"/>
      <c r="N7" s="49"/>
      <c r="O7" s="49"/>
    </row>
    <row r="8" spans="1:17" x14ac:dyDescent="0.25">
      <c r="A8" s="10">
        <v>1994</v>
      </c>
      <c r="B8" s="74">
        <f>'Balanza c 09'!B5</f>
        <v>-7.8141390000000008</v>
      </c>
      <c r="C8" s="27">
        <v>1017.331577</v>
      </c>
      <c r="D8" s="2">
        <v>4474.9809999999998</v>
      </c>
      <c r="E8" s="5">
        <v>632.10264900000004</v>
      </c>
      <c r="F8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-4.73746626378056E-3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74">
        <f>'Balanza c 09'!B6</f>
        <v>-11.960359</v>
      </c>
      <c r="C9" s="27">
        <v>1038.4779860000001</v>
      </c>
      <c r="D9" s="2">
        <v>3992.277</v>
      </c>
      <c r="E9" s="5">
        <v>792.92823299999998</v>
      </c>
      <c r="F9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-6.5306969452854089E-3</v>
      </c>
      <c r="G9" s="1"/>
    </row>
    <row r="10" spans="1:17" x14ac:dyDescent="0.25">
      <c r="A10" s="10">
        <v>1996</v>
      </c>
      <c r="B10" s="74">
        <f>'Balanza c 09'!B7</f>
        <v>-13.081849</v>
      </c>
      <c r="C10" s="27">
        <v>1068.2126330000001</v>
      </c>
      <c r="D10" s="2">
        <v>5379.8019999999997</v>
      </c>
      <c r="E10" s="5">
        <v>1032.147324</v>
      </c>
      <c r="F10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-6.2283843092710411E-3</v>
      </c>
      <c r="G10" s="1"/>
      <c r="H10" s="114"/>
    </row>
    <row r="11" spans="1:17" x14ac:dyDescent="0.25">
      <c r="A11" s="10">
        <v>1997</v>
      </c>
      <c r="B11" s="74">
        <f>'Balanza c 09'!B8</f>
        <v>-15.853833</v>
      </c>
      <c r="C11" s="27">
        <v>1133.477727</v>
      </c>
      <c r="D11" s="2">
        <v>3821.105</v>
      </c>
      <c r="E11" s="5">
        <v>969.76201700000001</v>
      </c>
      <c r="F11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-7.5378154322287283E-3</v>
      </c>
      <c r="G11" s="1"/>
    </row>
    <row r="12" spans="1:17" x14ac:dyDescent="0.25">
      <c r="A12" s="10">
        <v>1998</v>
      </c>
      <c r="B12" s="74">
        <f>'Balanza c 09'!B9</f>
        <v>-17.161290000000001</v>
      </c>
      <c r="C12" s="27">
        <v>1185.2250309999999</v>
      </c>
      <c r="D12" s="2">
        <v>3538.69</v>
      </c>
      <c r="E12" s="5">
        <v>942.82702099999995</v>
      </c>
      <c r="F12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-8.0643187199633416E-3</v>
      </c>
      <c r="G12" s="1"/>
    </row>
    <row r="13" spans="1:17" x14ac:dyDescent="0.25">
      <c r="A13" s="10">
        <v>1999</v>
      </c>
      <c r="B13" s="74">
        <f>'Balanza c 09'!B10</f>
        <v>-20.342635999999999</v>
      </c>
      <c r="C13" s="27">
        <v>1221.7329010000001</v>
      </c>
      <c r="D13" s="2">
        <v>3328.6469999999999</v>
      </c>
      <c r="E13" s="5">
        <v>718.368246</v>
      </c>
      <c r="F13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-1.0485348164169709E-2</v>
      </c>
      <c r="G13" s="1"/>
    </row>
    <row r="14" spans="1:17" x14ac:dyDescent="0.25">
      <c r="A14" s="10">
        <v>2000</v>
      </c>
      <c r="B14" s="74">
        <f>'Balanza c 09'!B11</f>
        <v>-11.727242</v>
      </c>
      <c r="C14" s="27">
        <v>1182.814787</v>
      </c>
      <c r="D14" s="2">
        <v>2423.2669999999998</v>
      </c>
      <c r="E14" s="5">
        <v>800.71074399999998</v>
      </c>
      <c r="F14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-5.9123221842713961E-3</v>
      </c>
      <c r="G14" s="1"/>
    </row>
    <row r="15" spans="1:17" x14ac:dyDescent="0.25">
      <c r="A15" s="10">
        <v>2001</v>
      </c>
      <c r="B15" s="74">
        <f>'Balanza c 09'!B12</f>
        <v>-10.213576</v>
      </c>
      <c r="C15" s="27">
        <v>1144.9792580000001</v>
      </c>
      <c r="D15" s="2">
        <v>3458.69</v>
      </c>
      <c r="E15" s="5">
        <v>806.63776399999995</v>
      </c>
      <c r="F15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-5.2333915337206974E-3</v>
      </c>
      <c r="G15" s="1"/>
    </row>
    <row r="16" spans="1:17" x14ac:dyDescent="0.25">
      <c r="A16" s="10">
        <v>2002</v>
      </c>
      <c r="B16" s="74">
        <f>'Balanza c 09'!B13</f>
        <v>-13.755357999999999</v>
      </c>
      <c r="C16" s="27">
        <v>1201.0997769999999</v>
      </c>
      <c r="D16" s="2">
        <v>3495.8850000000002</v>
      </c>
      <c r="E16" s="5">
        <v>914.29077400000006</v>
      </c>
      <c r="F16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-6.5025146271441387E-3</v>
      </c>
      <c r="G16" s="1"/>
    </row>
    <row r="17" spans="1:7" x14ac:dyDescent="0.25">
      <c r="A17" s="10">
        <v>2003</v>
      </c>
      <c r="B17" s="74">
        <f>'Balanza c 09'!B14</f>
        <v>-10.977077</v>
      </c>
      <c r="C17" s="27">
        <v>1198.522637</v>
      </c>
      <c r="D17" s="2">
        <v>4221.4390000000003</v>
      </c>
      <c r="E17" s="5">
        <v>964.07554868999978</v>
      </c>
      <c r="F17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-5.0758745071718663E-3</v>
      </c>
      <c r="G17" s="1"/>
    </row>
    <row r="18" spans="1:7" x14ac:dyDescent="0.25">
      <c r="A18" s="10">
        <v>2004</v>
      </c>
      <c r="B18" s="74">
        <f>'Balanza c 09'!B15</f>
        <v>-10.257809000000002</v>
      </c>
      <c r="C18" s="27">
        <v>1414.1092617499999</v>
      </c>
      <c r="D18" s="2">
        <v>2268.058</v>
      </c>
      <c r="E18" s="5">
        <v>1096.5766716700007</v>
      </c>
      <c r="F18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-4.0856599638597734E-3</v>
      </c>
      <c r="G18" s="1"/>
    </row>
    <row r="19" spans="1:7" x14ac:dyDescent="0.25">
      <c r="A19" s="10">
        <v>2005</v>
      </c>
      <c r="B19" s="74">
        <f>'Balanza c 09'!B16</f>
        <v>-1.3155929999999998</v>
      </c>
      <c r="C19" s="27">
        <v>1724.6291241099998</v>
      </c>
      <c r="D19" s="2">
        <v>3775.5949999999998</v>
      </c>
      <c r="E19" s="5">
        <v>1034.5303382900004</v>
      </c>
      <c r="F19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-4.7680933919479136E-4</v>
      </c>
      <c r="G19" s="1"/>
    </row>
    <row r="20" spans="1:7" x14ac:dyDescent="0.25">
      <c r="A20" s="10">
        <v>2006</v>
      </c>
      <c r="B20" s="74">
        <f>'Balanza c 09'!B17</f>
        <v>-16.198036000000002</v>
      </c>
      <c r="C20" s="27">
        <v>1872.3784980099981</v>
      </c>
      <c r="D20" s="2">
        <v>3769.5279999999998</v>
      </c>
      <c r="E20" s="5">
        <v>1257.3132665799999</v>
      </c>
      <c r="F20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-5.1756010554355686E-3</v>
      </c>
      <c r="G20" s="1"/>
    </row>
    <row r="21" spans="1:7" x14ac:dyDescent="0.25">
      <c r="A21" s="10">
        <v>2007</v>
      </c>
      <c r="B21" s="74">
        <f>'Balanza c 09'!B18</f>
        <v>-19.297027999999997</v>
      </c>
      <c r="C21" s="26">
        <v>2122.5042788000019</v>
      </c>
      <c r="D21" s="2">
        <v>4219.6670000000004</v>
      </c>
      <c r="E21" s="5">
        <v>1695.4131790200004</v>
      </c>
      <c r="F21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-5.0543334718971197E-3</v>
      </c>
      <c r="G21" s="1"/>
    </row>
    <row r="22" spans="1:7" x14ac:dyDescent="0.25">
      <c r="A22" s="10">
        <v>2008</v>
      </c>
      <c r="B22" s="74">
        <f>'Balanza c 09'!B19</f>
        <v>-23.139916000000003</v>
      </c>
      <c r="C22" s="26">
        <v>2146.3400352200028</v>
      </c>
      <c r="D22" s="2">
        <v>4908.3850000000002</v>
      </c>
      <c r="E22" s="5">
        <v>2236.8973823599977</v>
      </c>
      <c r="F22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-5.2791838076559463E-3</v>
      </c>
      <c r="G22" s="1"/>
    </row>
    <row r="23" spans="1:7" x14ac:dyDescent="0.25">
      <c r="A23" s="10">
        <v>2009</v>
      </c>
      <c r="B23" s="74">
        <f>'Balanza c 09'!B20</f>
        <v>-30.144489999999998</v>
      </c>
      <c r="C23" s="26">
        <v>2095.9589286500013</v>
      </c>
      <c r="D23" s="2">
        <v>4795.9279999999999</v>
      </c>
      <c r="E23" s="5">
        <v>1750.4526144300014</v>
      </c>
      <c r="F23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-7.8370423087545868E-3</v>
      </c>
      <c r="G23" s="1"/>
    </row>
    <row r="24" spans="1:7" x14ac:dyDescent="0.25">
      <c r="A24" s="10">
        <v>2010</v>
      </c>
      <c r="B24" s="74">
        <f>'Balanza c 09'!B21</f>
        <v>-26.734011000000002</v>
      </c>
      <c r="C24" s="26">
        <v>2166.04730251</v>
      </c>
      <c r="D24" s="2">
        <v>912.50599999999997</v>
      </c>
      <c r="E24" s="5">
        <v>2018.9772672800029</v>
      </c>
      <c r="F24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-6.3880176936073445E-3</v>
      </c>
      <c r="G24" s="1"/>
    </row>
    <row r="25" spans="1:7" x14ac:dyDescent="0.25">
      <c r="A25" s="10">
        <v>2011</v>
      </c>
      <c r="B25" s="74">
        <f>'Balanza c 09'!B22</f>
        <v>-51.666938000000002</v>
      </c>
      <c r="C25" s="26">
        <v>2284.3647235700028</v>
      </c>
      <c r="D25" s="2">
        <v>1611.5440000000001</v>
      </c>
      <c r="E25" s="5">
        <v>2563.9037290099977</v>
      </c>
      <c r="F25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-1.0656781592303434E-2</v>
      </c>
      <c r="G25" s="1"/>
    </row>
    <row r="26" spans="1:7" x14ac:dyDescent="0.25">
      <c r="A26" s="10">
        <v>2012</v>
      </c>
      <c r="B26" s="74">
        <f>'Balanza c 09'!B23</f>
        <v>-80.640150000000006</v>
      </c>
      <c r="C26" s="26">
        <v>2636.1765412600002</v>
      </c>
      <c r="D26" s="2">
        <v>1734.827</v>
      </c>
      <c r="E26" s="5">
        <v>2705.0876101299973</v>
      </c>
      <c r="F26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-1.5097577598556776E-2</v>
      </c>
      <c r="G26" s="1"/>
    </row>
    <row r="27" spans="1:7" x14ac:dyDescent="0.25">
      <c r="A27" s="10">
        <v>2013</v>
      </c>
      <c r="B27" s="74">
        <f>'Balanza c 09'!B24</f>
        <v>-80.719831999999997</v>
      </c>
      <c r="C27" s="26">
        <v>2651.0931387399996</v>
      </c>
      <c r="D27" s="2">
        <v>1652.723</v>
      </c>
      <c r="E27" s="5">
        <v>2581.5323848800022</v>
      </c>
      <c r="F27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-1.5426258125224471E-2</v>
      </c>
      <c r="G27" s="1"/>
    </row>
    <row r="28" spans="1:7" x14ac:dyDescent="0.25">
      <c r="A28" s="10">
        <v>2014</v>
      </c>
      <c r="B28" s="74">
        <f>'Balanza c 09'!B25</f>
        <v>-103.36700199999999</v>
      </c>
      <c r="C28" s="26">
        <v>2568.3085408999968</v>
      </c>
      <c r="D28" s="2">
        <v>1246.8779999999999</v>
      </c>
      <c r="E28" s="5">
        <v>2532.8550979199972</v>
      </c>
      <c r="F28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-2.0263416216130432E-2</v>
      </c>
      <c r="G28" s="1"/>
    </row>
    <row r="29" spans="1:7" x14ac:dyDescent="0.25">
      <c r="A29" s="11">
        <v>2015</v>
      </c>
      <c r="B29" s="74">
        <f>'Balanza c 09'!B26</f>
        <v>-99.371591999999993</v>
      </c>
      <c r="C29" s="3">
        <v>2443.4283642899991</v>
      </c>
      <c r="D29" s="2">
        <v>520.46799999999996</v>
      </c>
      <c r="E29" s="5">
        <v>2376.0279714999997</v>
      </c>
      <c r="F29" s="113">
        <f>(Tabla191011133145157[[#This Row],[Total Balanza Comercial de Colombia (US$ millones)]])/(Tabla191011133145157[[#This Row],[Total exportaciones de Colombia hacia el mundo
  (US$ millones FOB)]]+Tabla191011133145157[[#This Row],[Total Importaciones Colombia (US$millones CIF)]])</f>
        <v>-2.0618838532066738E-2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20</v>
      </c>
      <c r="C33" s="29" t="s">
        <v>121</v>
      </c>
      <c r="D33" s="29" t="s">
        <v>159</v>
      </c>
      <c r="E33" s="29" t="s">
        <v>160</v>
      </c>
      <c r="F33" s="29" t="s">
        <v>23</v>
      </c>
      <c r="G33" s="28" t="s">
        <v>24</v>
      </c>
    </row>
    <row r="34" spans="1:17" x14ac:dyDescent="0.25">
      <c r="A34" s="31">
        <v>1991</v>
      </c>
      <c r="B34" s="73">
        <f>'Participación Mundial 09'!C6</f>
        <v>1.0422279999999999</v>
      </c>
      <c r="C34" s="26">
        <v>2823.8</v>
      </c>
      <c r="D34" s="27">
        <v>5.9668809999999999</v>
      </c>
      <c r="E34" s="27">
        <v>7.2686346239999997</v>
      </c>
      <c r="F34" s="32">
        <f>((Tabla19101113143246158[[#This Row],[Total exportaciones del grupo
 a USA (US$ millones)]]*1000)/(Tabla19101113143246158[[#This Row],[Total exportaciones
 a USA (US$ miles)]])/((D34/10000)/E34))</f>
        <v>4496.0824265673045</v>
      </c>
      <c r="G34" s="98" t="str">
        <f>IF(Tabla19101113143246158[[#This Row],[Indice de Balassa]]&gt;0.33,"VENTAJA","NO VENTAJA")</f>
        <v>VENTAJA</v>
      </c>
    </row>
    <row r="35" spans="1:17" x14ac:dyDescent="0.25">
      <c r="A35" s="31">
        <v>1992</v>
      </c>
      <c r="B35" s="73">
        <f>'Participación Mundial 09'!C7</f>
        <v>1.5849740000000001</v>
      </c>
      <c r="C35" s="26">
        <v>2722.5</v>
      </c>
      <c r="D35" s="27">
        <v>7.6458810000000001</v>
      </c>
      <c r="E35" s="27">
        <v>6.9160427520000001</v>
      </c>
      <c r="F35" s="32">
        <f>((Tabla19101113143246158[[#This Row],[Total exportaciones del grupo
 a USA (US$ millones)]]*1000)/(Tabla19101113143246158[[#This Row],[Total exportaciones
 a USA (US$ miles)]])/((D35/10000)/E35))</f>
        <v>5266.0428520086643</v>
      </c>
      <c r="G35" s="98" t="str">
        <f>IF(Tabla19101113143246158[[#This Row],[Indice de Balassa]]&gt;0.33,"VENTAJA","NO VENTAJA")</f>
        <v>VENTAJA</v>
      </c>
    </row>
    <row r="36" spans="1:17" x14ac:dyDescent="0.25">
      <c r="A36" s="31">
        <v>1993</v>
      </c>
      <c r="B36" s="73">
        <f>'Participación Mundial 09'!C8</f>
        <v>1.24962</v>
      </c>
      <c r="C36" s="26">
        <v>2850.21</v>
      </c>
      <c r="D36" s="27">
        <v>7.949179</v>
      </c>
      <c r="E36" s="27">
        <v>7.1234385920000003</v>
      </c>
      <c r="F36" s="32">
        <f>((Tabla19101113143246158[[#This Row],[Total exportaciones del grupo
 a USA (US$ millones)]]*1000)/(Tabla19101113143246158[[#This Row],[Total exportaciones
 a USA (US$ miles)]])/((D36/10000)/E36))</f>
        <v>3928.877755000829</v>
      </c>
      <c r="G36" s="98" t="str">
        <f>IF(Tabla19101113143246158[[#This Row],[Indice de Balassa]]&gt;0.33,"VENTAJA","NO VENTAJA")</f>
        <v>VENTAJA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f>'Participación Mundial 09'!C9</f>
        <v>2.041169</v>
      </c>
      <c r="C37" s="26">
        <v>3164.92</v>
      </c>
      <c r="D37" s="27">
        <v>10.185788000000001</v>
      </c>
      <c r="E37" s="27">
        <v>8.5375165440000007</v>
      </c>
      <c r="F37" s="32">
        <f>((Tabla19101113143246158[[#This Row],[Total exportaciones del grupo
 a USA (US$ millones)]]*1000)/(Tabla19101113143246158[[#This Row],[Total exportaciones
 a USA (US$ miles)]])/((D37/10000)/E37))</f>
        <v>5405.7150929565205</v>
      </c>
      <c r="G37" s="98" t="str">
        <f>IF(Tabla19101113143246158[[#This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>
        <f>'Participación Mundial 09'!C10</f>
        <v>1.4371849999999999</v>
      </c>
      <c r="C38" s="26">
        <v>3627.72</v>
      </c>
      <c r="D38" s="27">
        <v>20.534507999999999</v>
      </c>
      <c r="E38" s="27">
        <v>10.201048064</v>
      </c>
      <c r="F38" s="32">
        <f>((Tabla19101113143246158[[#This Row],[Total exportaciones del grupo
 a USA (US$ millones)]]*1000)/(Tabla19101113143246158[[#This Row],[Total exportaciones
 a USA (US$ miles)]])/((D38/10000)/E38))</f>
        <v>1968.0648667360097</v>
      </c>
      <c r="G38" s="98" t="str">
        <f>IF(Tabla19101113143246158[[#This Row],[Indice de Balassa]]&gt;0.33,"VENTAJA","NO VENTAJA")</f>
        <v>VENTAJA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f>'Participación Mundial 09'!C11</f>
        <v>1.515906</v>
      </c>
      <c r="C39" s="26">
        <v>4282.93</v>
      </c>
      <c r="D39" s="27">
        <v>19.864650000000001</v>
      </c>
      <c r="E39" s="27">
        <v>10.647555071999999</v>
      </c>
      <c r="F39" s="32">
        <f>((Tabla19101113143246158[[#This Row],[Total exportaciones del grupo
 a USA (US$ millones)]]*1000)/(Tabla19101113143246158[[#This Row],[Total exportaciones
 a USA (US$ miles)]])/((D39/10000)/E39))</f>
        <v>1897.1438970026084</v>
      </c>
      <c r="G39" s="98" t="str">
        <f>IF(Tabla19101113143246158[[#This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>
        <f>'Participación Mundial 09'!C12</f>
        <v>1.349143</v>
      </c>
      <c r="C40" s="26">
        <v>4379.28</v>
      </c>
      <c r="D40" s="27">
        <v>18.419090000000001</v>
      </c>
      <c r="E40" s="27">
        <v>11.549019136</v>
      </c>
      <c r="F40" s="32">
        <f>((Tabla19101113143246158[[#This Row],[Total exportaciones del grupo
 a USA (US$ millones)]]*1000)/(Tabla19101113143246158[[#This Row],[Total exportaciones
 a USA (US$ miles)]])/((D40/10000)/E40))</f>
        <v>1931.6667379437411</v>
      </c>
      <c r="G40" s="98" t="str">
        <f>IF(Tabla19101113143246158[[#This Row],[Indice de Balassa]]&gt;0.33,"VENTAJA","NO VENTAJA")</f>
        <v>VENTAJA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>
        <f>'Participación Mundial 09'!C13</f>
        <v>1.042678</v>
      </c>
      <c r="C41" s="26">
        <v>4139.68</v>
      </c>
      <c r="D41" s="27">
        <v>16.419884</v>
      </c>
      <c r="E41" s="27">
        <v>10.8212224</v>
      </c>
      <c r="F41" s="32">
        <f>((Tabla19101113143246158[[#This Row],[Total exportaciones del grupo
 a USA (US$ millones)]]*1000)/(Tabla19101113143246158[[#This Row],[Total exportaciones
 a USA (US$ miles)]])/((D41/10000)/E41))</f>
        <v>1659.9296300186072</v>
      </c>
      <c r="G41" s="98" t="str">
        <f>IF(Tabla19101113143246158[[#This Row],[Indice de Balassa]]&gt;0.33,"VENTAJA","NO VENTAJA")</f>
        <v>VENTAJA</v>
      </c>
      <c r="M41" t="s">
        <v>101</v>
      </c>
    </row>
    <row r="42" spans="1:17" x14ac:dyDescent="0.25">
      <c r="A42" s="31">
        <v>1999</v>
      </c>
      <c r="B42" s="73">
        <f>'Participación Mundial 09'!C14</f>
        <v>1.478</v>
      </c>
      <c r="C42" s="26">
        <v>5817.43</v>
      </c>
      <c r="D42" s="27">
        <v>33.688600000000001</v>
      </c>
      <c r="E42" s="27">
        <v>11.617030143999999</v>
      </c>
      <c r="F42" s="32">
        <f>((Tabla19101113143246158[[#This Row],[Total exportaciones del grupo
 a USA (US$ millones)]]*1000)/(Tabla19101113143246158[[#This Row],[Total exportaciones
 a USA (US$ miles)]])/((D42/10000)/E42))</f>
        <v>876.10351099233276</v>
      </c>
      <c r="G42" s="98" t="str">
        <f>IF(Tabla19101113143246158[[#This Row],[Indice de Balassa]]&gt;0.33,"VENTAJA","NO VENTAJA")</f>
        <v>VENTAJA</v>
      </c>
    </row>
    <row r="43" spans="1:17" x14ac:dyDescent="0.25">
      <c r="A43" s="31">
        <v>2000</v>
      </c>
      <c r="B43" s="73">
        <f>'Participación Mundial 09'!C15</f>
        <v>1.979636</v>
      </c>
      <c r="C43" s="26">
        <v>6632.13</v>
      </c>
      <c r="D43" s="27">
        <v>63.049089000000002</v>
      </c>
      <c r="E43" s="27">
        <v>13.158400846999999</v>
      </c>
      <c r="F43" s="32">
        <f>((Tabla19101113143246158[[#This Row],[Total exportaciones del grupo
 a USA (US$ millones)]]*1000)/(Tabla19101113143246158[[#This Row],[Total exportaciones
 a USA (US$ miles)]])/((D43/10000)/E43))</f>
        <v>622.9549038532333</v>
      </c>
      <c r="G43" s="98" t="str">
        <f>IF(Tabla19101113143246158[[#This Row],[Indice de Balassa]]&gt;0.33,"VENTAJA","NO VENTAJA")</f>
        <v>VENTAJA</v>
      </c>
    </row>
    <row r="44" spans="1:17" x14ac:dyDescent="0.25">
      <c r="A44" s="31">
        <v>2001</v>
      </c>
      <c r="B44" s="73">
        <f>'Participación Mundial 09'!C16</f>
        <v>4.2792539999999999</v>
      </c>
      <c r="C44" s="26">
        <v>5344.53</v>
      </c>
      <c r="D44" s="27">
        <v>71.590270000000004</v>
      </c>
      <c r="E44" s="27">
        <v>12.301486486</v>
      </c>
      <c r="F44" s="32">
        <f>((Tabla19101113143246158[[#This Row],[Total exportaciones del grupo
 a USA (US$ millones)]]*1000)/(Tabla19101113143246158[[#This Row],[Total exportaciones
 a USA (US$ miles)]])/((D44/10000)/E44))</f>
        <v>1375.8216511026412</v>
      </c>
      <c r="G44" s="98" t="str">
        <f>IF(Tabla19101113143246158[[#This Row],[Indice de Balassa]]&gt;0.33,"VENTAJA","NO VENTAJA")</f>
        <v>VENTAJA</v>
      </c>
    </row>
    <row r="45" spans="1:17" x14ac:dyDescent="0.25">
      <c r="A45" s="31">
        <v>2002</v>
      </c>
      <c r="B45" s="73">
        <f>'Participación Mundial 09'!C17</f>
        <v>3.681295</v>
      </c>
      <c r="C45" s="26">
        <v>5328.47</v>
      </c>
      <c r="D45" s="27">
        <v>54.443682000000003</v>
      </c>
      <c r="E45" s="27">
        <v>11.897488381000001</v>
      </c>
      <c r="F45" s="32">
        <f>((Tabla19101113143246158[[#This Row],[Total exportaciones del grupo
 a USA (US$ millones)]]*1000)/(Tabla19101113143246158[[#This Row],[Total exportaciones
 a USA (US$ miles)]])/((D45/10000)/E45))</f>
        <v>1509.7529840408856</v>
      </c>
      <c r="G45" s="98" t="str">
        <f>IF(Tabla19101113143246158[[#This Row],[Indice de Balassa]]&gt;0.33,"VENTAJA","NO VENTAJA")</f>
        <v>VENTAJA</v>
      </c>
    </row>
    <row r="46" spans="1:17" x14ac:dyDescent="0.25">
      <c r="A46" s="31">
        <v>2003</v>
      </c>
      <c r="B46" s="73">
        <f>'Participación Mundial 09'!C18</f>
        <v>5.1394549999999999</v>
      </c>
      <c r="C46" s="26">
        <v>6160.2</v>
      </c>
      <c r="D46" s="27">
        <v>52.843564999999998</v>
      </c>
      <c r="E46" s="27">
        <v>13.092218068999999</v>
      </c>
      <c r="F46" s="32">
        <f>((Tabla19101113143246158[[#This Row],[Total exportaciones del grupo
 a USA (US$ millones)]]*1000)/(Tabla19101113143246158[[#This Row],[Total exportaciones
 a USA (US$ miles)]])/((D46/10000)/E46))</f>
        <v>2067.0138043312272</v>
      </c>
      <c r="G46" s="98" t="str">
        <f>IF(Tabla19101113143246158[[#This Row],[Indice de Balassa]]&gt;0.33,"VENTAJA","NO VENTAJA")</f>
        <v>VENTAJA</v>
      </c>
    </row>
    <row r="47" spans="1:17" x14ac:dyDescent="0.25">
      <c r="A47" s="31">
        <v>2004</v>
      </c>
      <c r="B47" s="73">
        <f>'Participación Mundial 09'!C19</f>
        <v>8.7669619999999995</v>
      </c>
      <c r="C47" s="26">
        <v>7042.2</v>
      </c>
      <c r="D47" s="27">
        <v>78.386705000000006</v>
      </c>
      <c r="E47" s="27">
        <v>16.729677706</v>
      </c>
      <c r="F47" s="32">
        <f>((Tabla19101113143246158[[#This Row],[Total exportaciones del grupo
 a USA (US$ millones)]]*1000)/(Tabla19101113143246158[[#This Row],[Total exportaciones
 a USA (US$ miles)]])/((D47/10000)/E47))</f>
        <v>2656.9656173376866</v>
      </c>
      <c r="G47" s="98" t="str">
        <f>IF(Tabla19101113143246158[[#This Row],[Indice de Balassa]]&gt;0.33,"VENTAJA","NO VENTAJA")</f>
        <v>VENTAJA</v>
      </c>
    </row>
    <row r="48" spans="1:17" x14ac:dyDescent="0.25">
      <c r="A48" s="31">
        <v>2005</v>
      </c>
      <c r="B48" s="73">
        <f>'Participación Mundial 09'!C20</f>
        <v>19.191551</v>
      </c>
      <c r="C48" s="26">
        <v>8851.6299999999992</v>
      </c>
      <c r="D48" s="27">
        <v>115.11866999999999</v>
      </c>
      <c r="E48" s="27">
        <v>21.190438735000001</v>
      </c>
      <c r="F48" s="32">
        <f>((Tabla19101113143246158[[#This Row],[Total exportaciones del grupo
 a USA (US$ millones)]]*1000)/(Tabla19101113143246158[[#This Row],[Total exportaciones
 a USA (US$ miles)]])/((D48/10000)/E48))</f>
        <v>3990.9933817458377</v>
      </c>
      <c r="G48" s="98" t="str">
        <f>IF(Tabla19101113143246158[[#This Row],[Indice de Balassa]]&gt;0.33,"VENTAJA","NO VENTAJA")</f>
        <v>VENTAJA</v>
      </c>
    </row>
    <row r="49" spans="1:25" x14ac:dyDescent="0.25">
      <c r="A49" s="31">
        <v>2006</v>
      </c>
      <c r="B49" s="73">
        <f>'Participación Mundial 09'!C21</f>
        <v>15.957020999999999</v>
      </c>
      <c r="C49" s="26">
        <v>9948.23</v>
      </c>
      <c r="D49" s="27">
        <v>107.34786200000001</v>
      </c>
      <c r="E49" s="27">
        <v>24.390975102999999</v>
      </c>
      <c r="F49" s="32">
        <f>((Tabla19101113143246158[[#This Row],[Total exportaciones del grupo
 a USA (US$ millones)]]*1000)/(Tabla19101113143246158[[#This Row],[Total exportaciones
 a USA (US$ miles)]])/((D49/10000)/E49))</f>
        <v>3644.531958054366</v>
      </c>
      <c r="G49" s="98" t="str">
        <f>IF(Tabla19101113143246158[[#This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f>'Participación Mundial 09'!C22</f>
        <v>17.968544000000001</v>
      </c>
      <c r="C50" s="26">
        <v>10609.17</v>
      </c>
      <c r="D50" s="26">
        <v>137.57456099999999</v>
      </c>
      <c r="E50" s="26">
        <v>29.991332</v>
      </c>
      <c r="F50" s="32">
        <f>((Tabla19101113143246158[[#This Row],[Total exportaciones del grupo
 a USA (US$ millones)]]*1000)/(Tabla19101113143246158[[#This Row],[Total exportaciones
 a USA (US$ miles)]])/((D50/10000)/E50))</f>
        <v>3692.2329839365539</v>
      </c>
      <c r="G50" s="98" t="str">
        <f>IF(Tabla19101113143246158[[#This Row],[Indice de Balassa]]&gt;0.33,"VENTAJA","NO VENTAJA")</f>
        <v>VENTAJA</v>
      </c>
    </row>
    <row r="51" spans="1:25" x14ac:dyDescent="0.25">
      <c r="A51" s="31">
        <v>2008</v>
      </c>
      <c r="B51" s="73">
        <f>'Participación Mundial 09'!C23</f>
        <v>19.799885</v>
      </c>
      <c r="C51" s="26">
        <v>14288.83</v>
      </c>
      <c r="D51" s="26">
        <v>165.19152299999999</v>
      </c>
      <c r="E51" s="26">
        <v>37.625882064999999</v>
      </c>
      <c r="F51" s="32">
        <f>((Tabla19101113143246158[[#This Row],[Total exportaciones del grupo
 a USA (US$ millones)]]*1000)/(Tabla19101113143246158[[#This Row],[Total exportaciones
 a USA (US$ miles)]])/((D51/10000)/E51))</f>
        <v>3156.2030213807252</v>
      </c>
      <c r="G51" s="98" t="str">
        <f>IF(Tabla19101113143246158[[#This Row],[Indice de Balassa]]&gt;0.33,"VENTAJA","NO VENTAJA")</f>
        <v>VENTAJA</v>
      </c>
    </row>
    <row r="52" spans="1:25" x14ac:dyDescent="0.25">
      <c r="A52" s="31">
        <v>2009</v>
      </c>
      <c r="B52" s="73">
        <f>'Participación Mundial 09'!C24</f>
        <v>18.206178000000001</v>
      </c>
      <c r="C52" s="26">
        <v>13123.47</v>
      </c>
      <c r="D52" s="26">
        <v>146.81537700000001</v>
      </c>
      <c r="E52" s="26">
        <v>32.852985836999999</v>
      </c>
      <c r="F52" s="32">
        <f>((Tabla19101113143246158[[#This Row],[Total exportaciones del grupo
 a USA (US$ millones)]]*1000)/(Tabla19101113143246158[[#This Row],[Total exportaciones
 a USA (US$ miles)]])/((D52/10000)/E52))</f>
        <v>3104.3694683211274</v>
      </c>
      <c r="G52" s="98" t="str">
        <f>IF(Tabla19101113143246158[[#This Row],[Indice de Balassa]]&gt;0.33,"VENTAJA","NO VENTAJA")</f>
        <v>VENTAJA</v>
      </c>
    </row>
    <row r="53" spans="1:25" x14ac:dyDescent="0.25">
      <c r="A53" s="31">
        <v>2010</v>
      </c>
      <c r="B53" s="73">
        <f>'Participación Mundial 09'!C25</f>
        <v>23.231349999999999</v>
      </c>
      <c r="C53" s="26">
        <v>17143.28</v>
      </c>
      <c r="D53" s="26">
        <v>122.64160699999999</v>
      </c>
      <c r="E53" s="26">
        <v>39.819528642000002</v>
      </c>
      <c r="F53" s="32">
        <f>((Tabla19101113143246158[[#This Row],[Total exportaciones del grupo
 a USA (US$ millones)]]*1000)/(Tabla19101113143246158[[#This Row],[Total exportaciones
 a USA (US$ miles)]])/((D53/10000)/E53))</f>
        <v>4399.859532507302</v>
      </c>
      <c r="G53" s="98" t="str">
        <f>IF(Tabla19101113143246158[[#This Row],[Indice de Balassa]]&gt;0.33,"VENTAJA","NO VENTAJA")</f>
        <v>VENTAJA</v>
      </c>
    </row>
    <row r="54" spans="1:25" x14ac:dyDescent="0.25">
      <c r="A54" s="31">
        <v>2011</v>
      </c>
      <c r="B54" s="73">
        <f>'Participación Mundial 09'!C26</f>
        <v>22.369783999999999</v>
      </c>
      <c r="C54" s="26">
        <v>21948.53</v>
      </c>
      <c r="D54" s="26">
        <v>118.337402</v>
      </c>
      <c r="E54" s="26">
        <v>56.953516086</v>
      </c>
      <c r="F54" s="32">
        <f>((Tabla19101113143246158[[#This Row],[Total exportaciones del grupo
 a USA (US$ millones)]]*1000)/(Tabla19101113143246158[[#This Row],[Total exportaciones
 a USA (US$ miles)]])/((D54/10000)/E54))</f>
        <v>4905.1790225305258</v>
      </c>
      <c r="G54" s="98" t="str">
        <f>IF(Tabla19101113143246158[[#This Row],[Indice de Balassa]]&gt;0.33,"VENTAJA","NO VENTAJA")</f>
        <v>VENTAJA</v>
      </c>
    </row>
    <row r="55" spans="1:25" x14ac:dyDescent="0.25">
      <c r="A55" s="31">
        <v>2012</v>
      </c>
      <c r="B55" s="73">
        <f>'Participación Mundial 09'!C27</f>
        <v>27.756962999999999</v>
      </c>
      <c r="C55" s="26">
        <v>22216.240000000002</v>
      </c>
      <c r="D55" s="26">
        <v>135.473221</v>
      </c>
      <c r="E55" s="26">
        <v>60.273618167999999</v>
      </c>
      <c r="F55" s="32">
        <f>((Tabla19101113143246158[[#This Row],[Total exportaciones del grupo
 a USA (US$ millones)]]*1000)/(Tabla19101113143246158[[#This Row],[Total exportaciones
 a USA (US$ miles)]])/((D55/10000)/E55))</f>
        <v>5558.7250600070965</v>
      </c>
      <c r="G55" s="98" t="str">
        <f>IF(Tabla19101113143246158[[#This Row],[Indice de Balassa]]&gt;0.33,"VENTAJA","NO VENTAJA")</f>
        <v>VENTAJA</v>
      </c>
    </row>
    <row r="56" spans="1:25" x14ac:dyDescent="0.25">
      <c r="A56" s="31">
        <v>2013</v>
      </c>
      <c r="B56" s="73">
        <f>'Participación Mundial 09'!C28</f>
        <v>21.177413000000001</v>
      </c>
      <c r="C56" s="26">
        <v>18692.900000000001</v>
      </c>
      <c r="D56" s="26">
        <v>120.73675299999999</v>
      </c>
      <c r="E56" s="26">
        <v>58.821869986999999</v>
      </c>
      <c r="F56" s="32">
        <f>((Tabla19101113143246158[[#This Row],[Total exportaciones del grupo
 a USA (US$ millones)]]*1000)/(Tabla19101113143246158[[#This Row],[Total exportaciones
 a USA (US$ miles)]])/((D56/10000)/E56))</f>
        <v>5519.4468854232109</v>
      </c>
      <c r="G56" s="98" t="str">
        <f>IF(Tabla19101113143246158[[#This Row],[Indice de Balassa]]&gt;0.33,"VENTAJA","NO VENTAJA")</f>
        <v>VENTAJA</v>
      </c>
    </row>
    <row r="57" spans="1:25" x14ac:dyDescent="0.25">
      <c r="A57" s="31">
        <v>2014</v>
      </c>
      <c r="B57" s="73">
        <f>'Participación Mundial 09'!C29</f>
        <v>17.432943000000002</v>
      </c>
      <c r="C57" s="26">
        <v>14470.7</v>
      </c>
      <c r="D57" s="26">
        <v>119.110895</v>
      </c>
      <c r="E57" s="26">
        <v>54.794812014999998</v>
      </c>
      <c r="F57" s="32">
        <f>((Tabla19101113143246158[[#This Row],[Total exportaciones del grupo
 a USA (US$ millones)]]*1000)/(Tabla19101113143246158[[#This Row],[Total exportaciones
 a USA (US$ miles)]])/((D57/10000)/E57))</f>
        <v>5542.0332050505385</v>
      </c>
      <c r="G57" s="98" t="str">
        <f>IF(Tabla19101113143246158[[#This Row],[Indice de Balassa]]&gt;0.33,"VENTAJA","NO VENTAJA")</f>
        <v>VENTAJA</v>
      </c>
    </row>
    <row r="58" spans="1:25" x14ac:dyDescent="0.25">
      <c r="A58" s="31">
        <v>2015</v>
      </c>
      <c r="B58" s="73">
        <f>'Participación Mundial 09'!C30</f>
        <v>16.877009000000001</v>
      </c>
      <c r="C58" s="3">
        <v>14074</v>
      </c>
      <c r="D58" s="3">
        <v>97.427936000000003</v>
      </c>
      <c r="E58" s="3">
        <v>35.690766592999999</v>
      </c>
      <c r="F58" s="32">
        <f>((Tabla19101113143246158[[#This Row],[Total exportaciones del grupo
 a USA (US$ millones)]]*1000)/(Tabla19101113143246158[[#This Row],[Total exportaciones
 a USA (US$ miles)]])/((D58/10000)/E58))</f>
        <v>4392.8898060033844</v>
      </c>
      <c r="G58" s="98" t="str">
        <f>IF(Tabla19101113143246158[[#This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28" t="s">
        <v>24</v>
      </c>
    </row>
    <row r="63" spans="1:25" x14ac:dyDescent="0.25">
      <c r="A63" s="31">
        <v>1991</v>
      </c>
      <c r="B63" s="73">
        <f>'Balanza c 09'!B2</f>
        <v>-2.2895190000000003</v>
      </c>
      <c r="C63" s="93">
        <f>'Apertura 09'!B184</f>
        <v>4.3739749999999997</v>
      </c>
      <c r="D63" s="32">
        <f>1-(Tabla1910111314123347159[[#This Row],[Balanza Comercial Colombia 
( US$ millones)]]/Tabla1910111314123347159[[#This Row],[Balanza Comercial Absoluta Colombia 
(US$ millones)]])</f>
        <v>1.5234412633817067</v>
      </c>
      <c r="E63" s="2" t="str">
        <f t="shared" ref="E63:E87" si="0">IF(D63&gt;0.1&lt;0.33,"POTENCIAL CMRCIO INT",IF(D63&gt;0.33,"INDICIOS DE CMRCIO INT",IF(D63&lt;0.1,"REL. INTERINDUSTRIALES")))</f>
        <v>INDICIOS DE CMRCIO INT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>
        <f>'Balanza c 09'!B3</f>
        <v>-2.4110810000000003</v>
      </c>
      <c r="C64" s="93">
        <f>'Apertura 09'!B185</f>
        <v>5.581029</v>
      </c>
      <c r="D64" s="32">
        <f>1-(Tabla1910111314123347159[[#This Row],[Balanza Comercial Colombia 
( US$ millones)]]/Tabla1910111314123347159[[#This Row],[Balanza Comercial Absoluta Colombia 
(US$ millones)]])</f>
        <v>1.4320137021327071</v>
      </c>
      <c r="E64" s="2" t="str">
        <f t="shared" si="0"/>
        <v>INDICIOS DE CMRCIO INT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>
        <f>'Balanza c 09'!B4</f>
        <v>-7.3323020000000003</v>
      </c>
      <c r="C65" s="93">
        <f>'Apertura 09'!B186</f>
        <v>9.8315420000000007</v>
      </c>
      <c r="D65" s="32">
        <f>1-(Tabla1910111314123347159[[#This Row],[Balanza Comercial Colombia 
( US$ millones)]]/Tabla1910111314123347159[[#This Row],[Balanza Comercial Absoluta Colombia 
(US$ millones)]])</f>
        <v>1.7457936913660137</v>
      </c>
      <c r="E65" s="2" t="str">
        <f t="shared" si="0"/>
        <v>INDICIOS DE CMRCIO INT</v>
      </c>
      <c r="G65" s="112"/>
      <c r="K65" s="49"/>
      <c r="M65" s="49"/>
      <c r="O65" s="49"/>
    </row>
    <row r="66" spans="1:15" x14ac:dyDescent="0.25">
      <c r="A66" s="31">
        <v>1994</v>
      </c>
      <c r="B66" s="73">
        <f>'Balanza c 09'!B5</f>
        <v>-7.8141390000000008</v>
      </c>
      <c r="C66" s="93">
        <f>'Apertura 09'!B187</f>
        <v>11.896477000000001</v>
      </c>
      <c r="D66" s="32">
        <f>1-(Tabla1910111314123347159[[#This Row],[Balanza Comercial Colombia 
( US$ millones)]]/Tabla1910111314123347159[[#This Row],[Balanza Comercial Absoluta Colombia 
(US$ millones)]])</f>
        <v>1.6568447953120913</v>
      </c>
      <c r="E66" s="2" t="str">
        <f t="shared" si="0"/>
        <v>INDICIOS DE CMRCIO INT</v>
      </c>
      <c r="G66" s="112"/>
      <c r="K66" s="49"/>
      <c r="M66" s="52" t="s">
        <v>136</v>
      </c>
      <c r="O66" s="49"/>
    </row>
    <row r="67" spans="1:15" x14ac:dyDescent="0.25">
      <c r="A67" s="31">
        <v>1995</v>
      </c>
      <c r="B67" s="73">
        <f>'Balanza c 09'!B6</f>
        <v>-11.960359</v>
      </c>
      <c r="C67" s="93">
        <f>'Apertura 09'!B188</f>
        <v>14.834728999999999</v>
      </c>
      <c r="D67" s="32">
        <f>1-(Tabla1910111314123347159[[#This Row],[Balanza Comercial Colombia 
( US$ millones)]]/Tabla1910111314123347159[[#This Row],[Balanza Comercial Absoluta Colombia 
(US$ millones)]])</f>
        <v>1.8062404780026653</v>
      </c>
      <c r="E67" s="2" t="str">
        <f t="shared" si="0"/>
        <v>INDICIOS DE CMRCIO INT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09'!B7</f>
        <v>-13.081849</v>
      </c>
      <c r="C68" s="93">
        <f>'Apertura 09'!B189</f>
        <v>16.113661</v>
      </c>
      <c r="D68" s="32">
        <f>1-(Tabla1910111314123347159[[#This Row],[Balanza Comercial Colombia 
( US$ millones)]]/Tabla1910111314123347159[[#This Row],[Balanza Comercial Absoluta Colombia 
(US$ millones)]])</f>
        <v>1.8118483440851834</v>
      </c>
      <c r="E68" s="2" t="str">
        <f t="shared" si="0"/>
        <v>INDICIOS DE CMRCIO INT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>
        <f>'Balanza c 09'!B8</f>
        <v>-15.853833</v>
      </c>
      <c r="C69" s="93">
        <f>'Apertura 09'!B190</f>
        <v>18.552119000000001</v>
      </c>
      <c r="D69" s="32">
        <f>1-(Tabla1910111314123347159[[#This Row],[Balanza Comercial Colombia 
( US$ millones)]]/Tabla1910111314123347159[[#This Row],[Balanza Comercial Absoluta Colombia 
(US$ millones)]])</f>
        <v>1.8545564525540181</v>
      </c>
      <c r="E69" s="2" t="str">
        <f t="shared" si="0"/>
        <v>INDICIOS DE CMRCIO INT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>
        <f>'Balanza c 09'!B9</f>
        <v>-17.161290000000001</v>
      </c>
      <c r="C70" s="93">
        <f>'Apertura 09'!B191</f>
        <v>19.246645999999998</v>
      </c>
      <c r="D70" s="32">
        <f>1-(Tabla1910111314123347159[[#This Row],[Balanza Comercial Colombia 
( US$ millones)]]/Tabla1910111314123347159[[#This Row],[Balanza Comercial Absoluta Colombia 
(US$ millones)]])</f>
        <v>1.8916509401170472</v>
      </c>
      <c r="E70" s="2" t="str">
        <f t="shared" si="0"/>
        <v>INDICIOS DE CMRCIO INT</v>
      </c>
    </row>
    <row r="71" spans="1:15" x14ac:dyDescent="0.25">
      <c r="A71" s="31">
        <v>1999</v>
      </c>
      <c r="B71" s="73">
        <f>'Balanza c 09'!B10</f>
        <v>-20.342635999999999</v>
      </c>
      <c r="C71" s="93">
        <f>'Apertura 09'!B192</f>
        <v>23.298636000000002</v>
      </c>
      <c r="D71" s="32">
        <f>1-(Tabla1910111314123347159[[#This Row],[Balanza Comercial Colombia 
( US$ millones)]]/Tabla1910111314123347159[[#This Row],[Balanza Comercial Absoluta Colombia 
(US$ millones)]])</f>
        <v>1.873125619886074</v>
      </c>
      <c r="E71" s="2" t="str">
        <f t="shared" si="0"/>
        <v>INDICIOS DE CMRCIO INT</v>
      </c>
    </row>
    <row r="72" spans="1:15" x14ac:dyDescent="0.25">
      <c r="A72" s="31">
        <v>2000</v>
      </c>
      <c r="B72" s="73">
        <f>'Balanza c 09'!B11</f>
        <v>-11.727242</v>
      </c>
      <c r="C72" s="93">
        <f>'Apertura 09'!B193</f>
        <v>15.686513999999999</v>
      </c>
      <c r="D72" s="32">
        <f>1-(Tabla1910111314123347159[[#This Row],[Balanza Comercial Colombia 
( US$ millones)]]/Tabla1910111314123347159[[#This Row],[Balanza Comercial Absoluta Colombia 
(US$ millones)]])</f>
        <v>1.747600263512977</v>
      </c>
      <c r="E72" s="2" t="str">
        <f t="shared" si="0"/>
        <v>INDICIOS DE CMRCIO INT</v>
      </c>
    </row>
    <row r="73" spans="1:15" x14ac:dyDescent="0.25">
      <c r="A73" s="31">
        <v>2001</v>
      </c>
      <c r="B73" s="73">
        <f>'Balanza c 09'!B12</f>
        <v>-10.213576</v>
      </c>
      <c r="C73" s="93">
        <f>'Apertura 09'!B194</f>
        <v>18.772084</v>
      </c>
      <c r="D73" s="32">
        <f>1-(Tabla1910111314123347159[[#This Row],[Balanza Comercial Colombia 
( US$ millones)]]/Tabla1910111314123347159[[#This Row],[Balanza Comercial Absoluta Colombia 
(US$ millones)]])</f>
        <v>1.5440832248566543</v>
      </c>
      <c r="E73" s="2" t="str">
        <f t="shared" si="0"/>
        <v>INDICIOS DE CMRCIO INT</v>
      </c>
    </row>
    <row r="74" spans="1:15" x14ac:dyDescent="0.25">
      <c r="A74" s="31">
        <v>2002</v>
      </c>
      <c r="B74" s="73">
        <f>'Balanza c 09'!B13</f>
        <v>-13.755357999999999</v>
      </c>
      <c r="C74" s="93">
        <f>'Apertura 09'!B195</f>
        <v>21.117947999999998</v>
      </c>
      <c r="D74" s="32">
        <f>1-(Tabla1910111314123347159[[#This Row],[Balanza Comercial Colombia 
( US$ millones)]]/Tabla1910111314123347159[[#This Row],[Balanza Comercial Absoluta Colombia 
(US$ millones)]])</f>
        <v>1.6513586452623144</v>
      </c>
      <c r="E74" s="2" t="str">
        <f t="shared" si="0"/>
        <v>INDICIOS DE CMRCIO INT</v>
      </c>
    </row>
    <row r="75" spans="1:15" x14ac:dyDescent="0.25">
      <c r="A75" s="31">
        <v>2003</v>
      </c>
      <c r="B75" s="73">
        <f>'Balanza c 09'!B14</f>
        <v>-10.977077</v>
      </c>
      <c r="C75" s="93">
        <f>'Apertura 09'!B196</f>
        <v>21.255986999999998</v>
      </c>
      <c r="D75" s="32">
        <f>1-(Tabla1910111314123347159[[#This Row],[Balanza Comercial Colombia 
( US$ millones)]]/Tabla1910111314123347159[[#This Row],[Balanza Comercial Absoluta Colombia 
(US$ millones)]])</f>
        <v>1.516422831835567</v>
      </c>
      <c r="E75" s="2" t="str">
        <f t="shared" si="0"/>
        <v>INDICIOS DE CMRCIO INT</v>
      </c>
    </row>
    <row r="76" spans="1:15" x14ac:dyDescent="0.25">
      <c r="A76" s="31">
        <v>2004</v>
      </c>
      <c r="B76" s="73">
        <f>'Balanza c 09'!B15</f>
        <v>-10.257809000000002</v>
      </c>
      <c r="C76" s="93">
        <f>'Apertura 09'!B197</f>
        <v>27.791733000000001</v>
      </c>
      <c r="D76" s="32">
        <f>1-(Tabla1910111314123347159[[#This Row],[Balanza Comercial Colombia 
( US$ millones)]]/Tabla1910111314123347159[[#This Row],[Balanza Comercial Absoluta Colombia 
(US$ millones)]])</f>
        <v>1.3690956947521049</v>
      </c>
      <c r="E76" s="2" t="str">
        <f t="shared" si="0"/>
        <v>INDICIOS DE CMRCIO INT</v>
      </c>
    </row>
    <row r="77" spans="1:15" x14ac:dyDescent="0.25">
      <c r="A77" s="31">
        <v>2005</v>
      </c>
      <c r="B77" s="73">
        <f>'Balanza c 09'!B16</f>
        <v>-1.3155929999999998</v>
      </c>
      <c r="C77" s="93">
        <f>'Apertura 09'!B198</f>
        <v>39.698695000000001</v>
      </c>
      <c r="D77" s="32">
        <f>1-(Tabla1910111314123347159[[#This Row],[Balanza Comercial Colombia 
( US$ millones)]]/Tabla1910111314123347159[[#This Row],[Balanza Comercial Absoluta Colombia 
(US$ millones)]])</f>
        <v>1.033139452065112</v>
      </c>
      <c r="E77" s="2" t="str">
        <f t="shared" si="0"/>
        <v>INDICIOS DE CMRCIO INT</v>
      </c>
    </row>
    <row r="78" spans="1:15" x14ac:dyDescent="0.25">
      <c r="A78" s="31">
        <v>2006</v>
      </c>
      <c r="B78" s="73">
        <f>'Balanza c 09'!B17</f>
        <v>-16.198036000000002</v>
      </c>
      <c r="C78" s="93">
        <f>'Apertura 09'!B199</f>
        <v>48.112077999999997</v>
      </c>
      <c r="D78" s="32">
        <f>1-(Tabla1910111314123347159[[#This Row],[Balanza Comercial Colombia 
( US$ millones)]]/Tabla1910111314123347159[[#This Row],[Balanza Comercial Absoluta Colombia 
(US$ millones)]])</f>
        <v>1.3366729659857968</v>
      </c>
      <c r="E78" s="2" t="str">
        <f t="shared" si="0"/>
        <v>INDICIOS DE CMRCIO INT</v>
      </c>
    </row>
    <row r="79" spans="1:15" x14ac:dyDescent="0.25">
      <c r="A79" s="31">
        <v>2007</v>
      </c>
      <c r="B79" s="73">
        <f>'Balanza c 09'!B18</f>
        <v>-19.297027999999997</v>
      </c>
      <c r="C79" s="93">
        <f>'Apertura 09'!B200</f>
        <v>55.234116</v>
      </c>
      <c r="D79" s="32">
        <f>1-(Tabla1910111314123347159[[#This Row],[Balanza Comercial Colombia 
( US$ millones)]]/Tabla1910111314123347159[[#This Row],[Balanza Comercial Absoluta Colombia 
(US$ millones)]])</f>
        <v>1.3493679160177017</v>
      </c>
      <c r="E79" s="2" t="str">
        <f t="shared" si="0"/>
        <v>INDICIOS DE CMRCIO INT</v>
      </c>
    </row>
    <row r="80" spans="1:15" x14ac:dyDescent="0.25">
      <c r="A80" s="31">
        <v>2008</v>
      </c>
      <c r="B80" s="73">
        <f>'Balanza c 09'!B19</f>
        <v>-23.139916000000003</v>
      </c>
      <c r="C80" s="93">
        <f>'Apertura 09'!B201</f>
        <v>62.739686000000006</v>
      </c>
      <c r="D80" s="32">
        <f>1-(Tabla1910111314123347159[[#This Row],[Balanza Comercial Colombia 
( US$ millones)]]/Tabla1910111314123347159[[#This Row],[Balanza Comercial Absoluta Colombia 
(US$ millones)]])</f>
        <v>1.368824223952922</v>
      </c>
      <c r="E80" s="2" t="str">
        <f t="shared" si="0"/>
        <v>INDICIOS DE CMRCIO INT</v>
      </c>
    </row>
    <row r="81" spans="1:5" x14ac:dyDescent="0.25">
      <c r="A81" s="31">
        <v>2009</v>
      </c>
      <c r="B81" s="73">
        <f>'Balanza c 09'!B20</f>
        <v>-30.144489999999998</v>
      </c>
      <c r="C81" s="93">
        <f>'Apertura 09'!B202</f>
        <v>66.556846000000007</v>
      </c>
      <c r="D81" s="32">
        <f>1-(Tabla1910111314123347159[[#This Row],[Balanza Comercial Colombia 
( US$ millones)]]/Tabla1910111314123347159[[#This Row],[Balanza Comercial Absoluta Colombia 
(US$ millones)]])</f>
        <v>1.4529134388369305</v>
      </c>
      <c r="E81" s="2" t="str">
        <f t="shared" si="0"/>
        <v>INDICIOS DE CMRCIO INT</v>
      </c>
    </row>
    <row r="82" spans="1:5" x14ac:dyDescent="0.25">
      <c r="A82" s="31">
        <v>2010</v>
      </c>
      <c r="B82" s="73">
        <f>'Balanza c 09'!B21</f>
        <v>-26.734011000000002</v>
      </c>
      <c r="C82" s="93">
        <f>'Apertura 09'!B203</f>
        <v>73.196710999999993</v>
      </c>
      <c r="D82" s="32">
        <f>1-(Tabla1910111314123347159[[#This Row],[Balanza Comercial Colombia 
( US$ millones)]]/Tabla1910111314123347159[[#This Row],[Balanza Comercial Absoluta Colombia 
(US$ millones)]])</f>
        <v>1.3652351401417477</v>
      </c>
      <c r="E82" s="2" t="str">
        <f t="shared" si="0"/>
        <v>INDICIOS DE CMRCIO INT</v>
      </c>
    </row>
    <row r="83" spans="1:5" x14ac:dyDescent="0.25">
      <c r="A83" s="31">
        <v>2011</v>
      </c>
      <c r="B83" s="73">
        <f>'Balanza c 09'!B22</f>
        <v>-51.666938000000002</v>
      </c>
      <c r="C83" s="93">
        <f>'Apertura 09'!B204</f>
        <v>96.406505999999993</v>
      </c>
      <c r="D83" s="32">
        <f>1-(Tabla1910111314123347159[[#This Row],[Balanza Comercial Colombia 
( US$ millones)]]/Tabla1910111314123347159[[#This Row],[Balanza Comercial Absoluta Colombia 
(US$ millones)]])</f>
        <v>1.5359279175619123</v>
      </c>
      <c r="E83" s="2" t="str">
        <f t="shared" si="0"/>
        <v>INDICIOS DE CMRCIO INT</v>
      </c>
    </row>
    <row r="84" spans="1:5" x14ac:dyDescent="0.25">
      <c r="A84" s="31">
        <v>2012</v>
      </c>
      <c r="B84" s="73">
        <f>'Balanza c 09'!B23</f>
        <v>-80.640150000000006</v>
      </c>
      <c r="C84" s="93">
        <f>'Apertura 09'!B205</f>
        <v>136.154076</v>
      </c>
      <c r="D84" s="32">
        <f>1-(Tabla1910111314123347159[[#This Row],[Balanza Comercial Colombia 
( US$ millones)]]/Tabla1910111314123347159[[#This Row],[Balanza Comercial Absoluta Colombia 
(US$ millones)]])</f>
        <v>1.5922712883013506</v>
      </c>
      <c r="E84" s="2" t="str">
        <f t="shared" si="0"/>
        <v>INDICIOS DE CMRCIO INT</v>
      </c>
    </row>
    <row r="85" spans="1:5" x14ac:dyDescent="0.25">
      <c r="A85" s="31">
        <v>2013</v>
      </c>
      <c r="B85" s="73">
        <f>'Balanza c 09'!B24</f>
        <v>-80.719831999999997</v>
      </c>
      <c r="C85" s="93">
        <f>'Apertura 09'!B206</f>
        <v>123.074658</v>
      </c>
      <c r="D85" s="32">
        <f>1-(Tabla1910111314123347159[[#This Row],[Balanza Comercial Colombia 
( US$ millones)]]/Tabla1910111314123347159[[#This Row],[Balanza Comercial Absoluta Colombia 
(US$ millones)]])</f>
        <v>1.6558607052964551</v>
      </c>
      <c r="E85" s="2" t="str">
        <f t="shared" si="0"/>
        <v>INDICIOS DE CMRCIO INT</v>
      </c>
    </row>
    <row r="86" spans="1:5" x14ac:dyDescent="0.25">
      <c r="A86" s="31">
        <v>2014</v>
      </c>
      <c r="B86" s="73">
        <f>'Balanza c 09'!B25</f>
        <v>-103.36700199999999</v>
      </c>
      <c r="C86" s="93">
        <f>'Apertura 09'!B207</f>
        <v>138.232888</v>
      </c>
      <c r="D86" s="32">
        <f>1-(Tabla1910111314123347159[[#This Row],[Balanza Comercial Colombia 
( US$ millones)]]/Tabla1910111314123347159[[#This Row],[Balanza Comercial Absoluta Colombia 
(US$ millones)]])</f>
        <v>1.7477743067915936</v>
      </c>
      <c r="E86" s="2" t="str">
        <f t="shared" si="0"/>
        <v>INDICIOS DE CMRCIO INT</v>
      </c>
    </row>
    <row r="87" spans="1:5" x14ac:dyDescent="0.25">
      <c r="A87" s="31">
        <v>2015</v>
      </c>
      <c r="B87" s="73">
        <f>'Balanza c 09'!B26</f>
        <v>-99.371591999999993</v>
      </c>
      <c r="C87" s="93">
        <f>'Apertura 09'!B208</f>
        <v>133.12560999999999</v>
      </c>
      <c r="D87" s="32">
        <f>1-(Tabla1910111314123347159[[#This Row],[Balanza Comercial Colombia 
( US$ millones)]]/Tabla1910111314123347159[[#This Row],[Balanza Comercial Absoluta Colombia 
(US$ millones)]])</f>
        <v>1.7464498528870589</v>
      </c>
      <c r="E87" s="2" t="str">
        <f t="shared" si="0"/>
        <v>INDICIOS DE CMRCIO INT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0" priority="3" operator="lessThan">
      <formula>0</formula>
    </cfRule>
  </conditionalFormatting>
  <conditionalFormatting sqref="E63:E87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3"/>
  <sheetViews>
    <sheetView topLeftCell="A97" workbookViewId="0">
      <selection activeCell="C6" sqref="C6:C30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7" max="7" width="12" bestFit="1" customWidth="1"/>
    <col min="8" max="8" width="12.28515625" bestFit="1" customWidth="1"/>
    <col min="9" max="9" width="5.85546875" customWidth="1"/>
    <col min="10" max="10" width="10.85546875" customWidth="1"/>
    <col min="11" max="11" width="2.42578125" customWidth="1"/>
  </cols>
  <sheetData>
    <row r="2" spans="2:12" x14ac:dyDescent="0.25">
      <c r="H2" s="71"/>
    </row>
    <row r="4" spans="2:12" ht="15.75" x14ac:dyDescent="0.25">
      <c r="B4" s="130" t="s">
        <v>11</v>
      </c>
      <c r="C4" s="130"/>
      <c r="D4" s="130"/>
      <c r="E4" s="130"/>
    </row>
    <row r="5" spans="2:12" ht="78.75" customHeight="1" x14ac:dyDescent="0.25">
      <c r="B5" s="12" t="s">
        <v>3</v>
      </c>
      <c r="C5" s="13" t="s">
        <v>121</v>
      </c>
      <c r="D5" s="13" t="s">
        <v>14</v>
      </c>
      <c r="E5" s="14" t="s">
        <v>4</v>
      </c>
    </row>
    <row r="6" spans="2:12" x14ac:dyDescent="0.25">
      <c r="B6" s="10">
        <v>1991</v>
      </c>
      <c r="C6" s="69">
        <v>734.10299999999995</v>
      </c>
      <c r="D6" s="2">
        <v>30.88664</v>
      </c>
      <c r="E6" s="41">
        <f>(C6/D6)/1000000000</f>
        <v>2.3767654882499359E-8</v>
      </c>
    </row>
    <row r="7" spans="2:12" x14ac:dyDescent="0.25">
      <c r="B7" s="10">
        <v>1992</v>
      </c>
      <c r="C7" s="70">
        <v>1414.192</v>
      </c>
      <c r="D7" s="2">
        <v>36.748779999999996</v>
      </c>
      <c r="E7" s="41">
        <f t="shared" ref="E7:E30" si="0">(C7/D7)/1000000000</f>
        <v>3.8482692486662147E-8</v>
      </c>
      <c r="G7" s="7" t="s">
        <v>17</v>
      </c>
      <c r="J7" s="1"/>
      <c r="K7" t="s">
        <v>10</v>
      </c>
      <c r="L7" s="7" t="s">
        <v>79</v>
      </c>
    </row>
    <row r="8" spans="2:12" x14ac:dyDescent="0.25">
      <c r="B8" s="10">
        <v>1993</v>
      </c>
      <c r="C8" s="69">
        <v>2008.502</v>
      </c>
      <c r="D8" s="2">
        <v>54.163779999999996</v>
      </c>
      <c r="E8" s="41">
        <f t="shared" si="0"/>
        <v>3.7082013109129384E-8</v>
      </c>
    </row>
    <row r="9" spans="2:12" x14ac:dyDescent="0.25">
      <c r="B9" s="10">
        <v>1994</v>
      </c>
      <c r="C9" s="70">
        <v>2032.5329999999999</v>
      </c>
      <c r="D9" s="2">
        <v>82.613830000000007</v>
      </c>
      <c r="E9" s="41">
        <f t="shared" si="0"/>
        <v>2.4602817712240187E-8</v>
      </c>
    </row>
    <row r="10" spans="2:12" x14ac:dyDescent="0.25">
      <c r="B10" s="10">
        <v>1995</v>
      </c>
      <c r="C10" s="69">
        <v>2091.5880000000002</v>
      </c>
      <c r="D10" s="2">
        <v>97.478279999999998</v>
      </c>
      <c r="E10" s="41">
        <f t="shared" si="0"/>
        <v>2.1456964566875821E-8</v>
      </c>
    </row>
    <row r="11" spans="2:12" x14ac:dyDescent="0.25">
      <c r="B11" s="10">
        <v>1996</v>
      </c>
      <c r="C11" s="70">
        <v>1953.7819999999999</v>
      </c>
      <c r="D11" s="2">
        <v>137.40472</v>
      </c>
      <c r="E11" s="41">
        <f t="shared" si="0"/>
        <v>1.4219176750260108E-8</v>
      </c>
    </row>
    <row r="12" spans="2:12" x14ac:dyDescent="0.25">
      <c r="B12" s="10">
        <v>1997</v>
      </c>
      <c r="C12" s="69">
        <v>1089.6410000000001</v>
      </c>
      <c r="D12" s="2">
        <v>168.40043</v>
      </c>
      <c r="E12" s="41">
        <f t="shared" si="0"/>
        <v>6.4705357343802506E-9</v>
      </c>
    </row>
    <row r="13" spans="2:12" x14ac:dyDescent="0.25">
      <c r="B13" s="10">
        <v>1998</v>
      </c>
      <c r="C13" s="70">
        <v>943.56700000000001</v>
      </c>
      <c r="D13" s="2">
        <v>184.64424</v>
      </c>
      <c r="E13" s="41">
        <f t="shared" si="0"/>
        <v>5.1101891940956293E-9</v>
      </c>
    </row>
    <row r="14" spans="2:12" x14ac:dyDescent="0.25">
      <c r="B14" s="10">
        <v>1999</v>
      </c>
      <c r="C14" s="69">
        <v>1843.0740000000001</v>
      </c>
      <c r="D14" s="2">
        <v>182.49723999999998</v>
      </c>
      <c r="E14" s="41">
        <f t="shared" si="0"/>
        <v>1.0099188349369011E-8</v>
      </c>
    </row>
    <row r="15" spans="2:12" x14ac:dyDescent="0.25">
      <c r="B15" s="10">
        <v>2000</v>
      </c>
      <c r="C15" s="70">
        <v>1791.836</v>
      </c>
      <c r="D15" s="2">
        <v>173.83799999999999</v>
      </c>
      <c r="E15" s="41">
        <f t="shared" si="0"/>
        <v>1.0307504688272991E-8</v>
      </c>
    </row>
    <row r="16" spans="2:12" x14ac:dyDescent="0.25">
      <c r="B16" s="10">
        <v>2001</v>
      </c>
      <c r="C16" s="69">
        <v>1957.27</v>
      </c>
      <c r="D16" s="2">
        <v>169.57254999999998</v>
      </c>
      <c r="E16" s="41">
        <f t="shared" si="0"/>
        <v>1.1542375225235453E-8</v>
      </c>
    </row>
    <row r="17" spans="2:5" x14ac:dyDescent="0.25">
      <c r="B17" s="10">
        <v>2002</v>
      </c>
      <c r="C17" s="70">
        <v>1236.923</v>
      </c>
      <c r="D17" s="2">
        <v>193.08387999999999</v>
      </c>
      <c r="E17" s="41">
        <f t="shared" si="0"/>
        <v>6.4061432782477751E-9</v>
      </c>
    </row>
    <row r="18" spans="2:5" x14ac:dyDescent="0.25">
      <c r="B18" s="10">
        <v>2003</v>
      </c>
      <c r="C18" s="69">
        <v>1441.682</v>
      </c>
      <c r="D18" s="2">
        <v>203.78914</v>
      </c>
      <c r="E18" s="41">
        <f t="shared" si="0"/>
        <v>7.0743809017497203E-9</v>
      </c>
    </row>
    <row r="19" spans="2:5" x14ac:dyDescent="0.25">
      <c r="B19" s="10">
        <v>2004</v>
      </c>
      <c r="C19" s="70">
        <v>2121.6509999999998</v>
      </c>
      <c r="D19" s="2">
        <v>220.41551999999999</v>
      </c>
      <c r="E19" s="41">
        <f t="shared" si="0"/>
        <v>9.6256878825955635E-9</v>
      </c>
    </row>
    <row r="20" spans="2:5" x14ac:dyDescent="0.25">
      <c r="B20" s="10">
        <v>2005</v>
      </c>
      <c r="C20" s="69">
        <v>3450.0210000000002</v>
      </c>
      <c r="D20" s="2">
        <v>255.02369000000002</v>
      </c>
      <c r="E20" s="41">
        <f t="shared" si="0"/>
        <v>1.3528237317874273E-8</v>
      </c>
    </row>
    <row r="21" spans="2:5" x14ac:dyDescent="0.25">
      <c r="B21" s="10">
        <v>2006</v>
      </c>
      <c r="C21" s="70">
        <v>1953.683</v>
      </c>
      <c r="D21" s="2">
        <v>289.62955999999997</v>
      </c>
      <c r="E21" s="41">
        <f t="shared" si="0"/>
        <v>6.7454544349685859E-9</v>
      </c>
    </row>
    <row r="22" spans="2:5" x14ac:dyDescent="0.25">
      <c r="B22" s="10">
        <v>2007</v>
      </c>
      <c r="C22" s="69">
        <v>2639.74</v>
      </c>
      <c r="D22" s="2">
        <v>315.86653999999999</v>
      </c>
      <c r="E22" s="41">
        <f t="shared" si="0"/>
        <v>8.3571371630562699E-9</v>
      </c>
    </row>
    <row r="23" spans="2:5" x14ac:dyDescent="0.25">
      <c r="B23" s="10">
        <v>2008</v>
      </c>
      <c r="C23" s="70">
        <v>1717.326</v>
      </c>
      <c r="D23" s="2">
        <v>356.99453000000005</v>
      </c>
      <c r="E23" s="41">
        <f t="shared" si="0"/>
        <v>4.8105106820544278E-9</v>
      </c>
    </row>
    <row r="24" spans="2:5" x14ac:dyDescent="0.25">
      <c r="B24" s="10">
        <v>2009</v>
      </c>
      <c r="C24" s="69">
        <v>1575.6310000000001</v>
      </c>
      <c r="D24" s="2">
        <v>413.96373999999997</v>
      </c>
      <c r="E24" s="41">
        <f t="shared" si="0"/>
        <v>3.806205345424699E-9</v>
      </c>
    </row>
    <row r="25" spans="2:5" x14ac:dyDescent="0.25">
      <c r="B25" s="10">
        <v>2010</v>
      </c>
      <c r="C25" s="70">
        <v>1504.893</v>
      </c>
      <c r="D25" s="2">
        <v>476.72912000000002</v>
      </c>
      <c r="E25" s="41">
        <f t="shared" si="0"/>
        <v>3.1567045872926743E-9</v>
      </c>
    </row>
    <row r="26" spans="2:5" x14ac:dyDescent="0.25">
      <c r="B26" s="10">
        <v>2011</v>
      </c>
      <c r="C26" s="69">
        <v>972.726</v>
      </c>
      <c r="D26" s="2">
        <v>449.90528999999998</v>
      </c>
      <c r="E26" s="41">
        <f t="shared" si="0"/>
        <v>2.1620683766576741E-9</v>
      </c>
    </row>
    <row r="27" spans="2:5" x14ac:dyDescent="0.25">
      <c r="B27" s="10">
        <v>2012</v>
      </c>
      <c r="C27" s="70">
        <v>1055.278</v>
      </c>
      <c r="D27" s="2">
        <v>494.70812999999998</v>
      </c>
      <c r="E27" s="41">
        <f t="shared" si="0"/>
        <v>2.1331325199769813E-9</v>
      </c>
    </row>
    <row r="28" spans="2:5" x14ac:dyDescent="0.25">
      <c r="B28" s="10">
        <v>2013</v>
      </c>
      <c r="C28" s="69">
        <v>1403.4190000000001</v>
      </c>
      <c r="D28" s="2">
        <v>585.44633999999996</v>
      </c>
      <c r="E28" s="41">
        <f t="shared" si="0"/>
        <v>2.3971778523715768E-9</v>
      </c>
    </row>
    <row r="29" spans="2:5" x14ac:dyDescent="0.25">
      <c r="B29" s="10">
        <v>2014</v>
      </c>
      <c r="C29" s="70">
        <v>1707.6569999999999</v>
      </c>
      <c r="D29" s="2">
        <v>607.30944999999997</v>
      </c>
      <c r="E29" s="41">
        <f t="shared" si="0"/>
        <v>2.8118399935979919E-9</v>
      </c>
    </row>
    <row r="30" spans="2:5" x14ac:dyDescent="0.25">
      <c r="B30" s="11">
        <v>2015</v>
      </c>
      <c r="C30" s="69">
        <v>2333.547</v>
      </c>
      <c r="D30" s="2">
        <v>645.33130000000006</v>
      </c>
      <c r="E30" s="41">
        <f t="shared" si="0"/>
        <v>3.6160449679102807E-9</v>
      </c>
    </row>
    <row r="31" spans="2:5" x14ac:dyDescent="0.25">
      <c r="B31" t="s">
        <v>92</v>
      </c>
      <c r="C31" s="15"/>
      <c r="D31" s="22"/>
      <c r="E31" s="23"/>
    </row>
    <row r="32" spans="2:5" x14ac:dyDescent="0.25">
      <c r="B32" s="21"/>
      <c r="C32" s="15"/>
      <c r="D32" s="22"/>
      <c r="E32" s="23"/>
    </row>
    <row r="33" spans="2:12" x14ac:dyDescent="0.25">
      <c r="B33" s="7"/>
      <c r="E33" s="1"/>
    </row>
    <row r="35" spans="2:12" ht="15.75" x14ac:dyDescent="0.25">
      <c r="B35" s="130" t="s">
        <v>15</v>
      </c>
      <c r="C35" s="130"/>
      <c r="D35" s="130"/>
      <c r="E35" s="130"/>
    </row>
    <row r="36" spans="2:12" ht="60" x14ac:dyDescent="0.25">
      <c r="B36" s="12" t="s">
        <v>3</v>
      </c>
      <c r="C36" s="13" t="s">
        <v>130</v>
      </c>
      <c r="D36" s="13" t="s">
        <v>14</v>
      </c>
      <c r="E36" s="14" t="s">
        <v>81</v>
      </c>
    </row>
    <row r="37" spans="2:12" x14ac:dyDescent="0.25">
      <c r="B37" s="10">
        <v>1991</v>
      </c>
      <c r="C37" s="69">
        <v>1806.394</v>
      </c>
      <c r="D37" s="2">
        <v>30.88664</v>
      </c>
      <c r="E37" s="41">
        <f t="shared" ref="E37:E61" si="1">(C37/D37)/1000000000</f>
        <v>5.848463931330828E-8</v>
      </c>
      <c r="G37" s="7" t="s">
        <v>18</v>
      </c>
      <c r="J37" s="1"/>
      <c r="K37" t="s">
        <v>10</v>
      </c>
      <c r="L37" s="7" t="s">
        <v>80</v>
      </c>
    </row>
    <row r="38" spans="2:12" x14ac:dyDescent="0.25">
      <c r="B38" s="10">
        <v>1992</v>
      </c>
      <c r="C38" s="70">
        <v>3152.6379999999999</v>
      </c>
      <c r="D38" s="2">
        <v>36.748779999999996</v>
      </c>
      <c r="E38" s="41">
        <f t="shared" si="1"/>
        <v>8.5788915985782394E-8</v>
      </c>
    </row>
    <row r="39" spans="2:12" x14ac:dyDescent="0.25">
      <c r="B39" s="10">
        <v>1993</v>
      </c>
      <c r="C39" s="69">
        <v>3215.2869999999998</v>
      </c>
      <c r="D39" s="2">
        <v>54.163779999999996</v>
      </c>
      <c r="E39" s="41">
        <f t="shared" si="1"/>
        <v>5.9362308169776926E-8</v>
      </c>
    </row>
    <row r="40" spans="2:12" x14ac:dyDescent="0.25">
      <c r="B40" s="10">
        <v>1994</v>
      </c>
      <c r="C40" s="70">
        <v>4474.9809999999998</v>
      </c>
      <c r="D40" s="2">
        <v>82.613830000000007</v>
      </c>
      <c r="E40" s="41">
        <f t="shared" si="1"/>
        <v>5.4167455981643742E-8</v>
      </c>
    </row>
    <row r="41" spans="2:12" x14ac:dyDescent="0.25">
      <c r="B41" s="10">
        <v>1995</v>
      </c>
      <c r="C41" s="69">
        <v>3992.277</v>
      </c>
      <c r="D41" s="2">
        <v>97.478279999999998</v>
      </c>
      <c r="E41" s="41">
        <f t="shared" si="1"/>
        <v>4.0955554406581654E-8</v>
      </c>
    </row>
    <row r="42" spans="2:12" x14ac:dyDescent="0.25">
      <c r="B42" s="10">
        <v>1996</v>
      </c>
      <c r="C42" s="70">
        <v>5379.8019999999997</v>
      </c>
      <c r="D42" s="2">
        <v>137.40472</v>
      </c>
      <c r="E42" s="41">
        <f t="shared" si="1"/>
        <v>3.9152963595428161E-8</v>
      </c>
    </row>
    <row r="43" spans="2:12" x14ac:dyDescent="0.25">
      <c r="B43" s="10">
        <v>1997</v>
      </c>
      <c r="C43" s="69">
        <v>3821.105</v>
      </c>
      <c r="D43" s="2">
        <v>168.40043</v>
      </c>
      <c r="E43" s="41">
        <f t="shared" si="1"/>
        <v>2.2690589329255275E-8</v>
      </c>
    </row>
    <row r="44" spans="2:12" x14ac:dyDescent="0.25">
      <c r="B44" s="10">
        <v>1998</v>
      </c>
      <c r="C44" s="70">
        <v>3538.69</v>
      </c>
      <c r="D44" s="2">
        <v>184.64424</v>
      </c>
      <c r="E44" s="41">
        <f t="shared" si="1"/>
        <v>1.9164908691438196E-8</v>
      </c>
    </row>
    <row r="45" spans="2:12" x14ac:dyDescent="0.25">
      <c r="B45" s="10">
        <v>1999</v>
      </c>
      <c r="C45" s="69">
        <v>3328.6469999999999</v>
      </c>
      <c r="D45" s="2">
        <v>182.49723999999998</v>
      </c>
      <c r="E45" s="41">
        <f t="shared" si="1"/>
        <v>1.8239437484095654E-8</v>
      </c>
    </row>
    <row r="46" spans="2:12" x14ac:dyDescent="0.25">
      <c r="B46" s="10">
        <v>2000</v>
      </c>
      <c r="C46" s="70">
        <v>2423.2669999999998</v>
      </c>
      <c r="D46" s="2">
        <v>173.83799999999999</v>
      </c>
      <c r="E46" s="41">
        <f t="shared" si="1"/>
        <v>1.3939800273818152E-8</v>
      </c>
    </row>
    <row r="47" spans="2:12" x14ac:dyDescent="0.25">
      <c r="B47" s="10">
        <v>2001</v>
      </c>
      <c r="C47" s="69">
        <v>3458.69</v>
      </c>
      <c r="D47" s="2">
        <v>169.57254999999998</v>
      </c>
      <c r="E47" s="41">
        <f t="shared" si="1"/>
        <v>2.0396520545335908E-8</v>
      </c>
    </row>
    <row r="48" spans="2:12" x14ac:dyDescent="0.25">
      <c r="B48" s="10">
        <v>2002</v>
      </c>
      <c r="C48" s="70">
        <v>3495.8850000000002</v>
      </c>
      <c r="D48" s="2">
        <v>193.08387999999999</v>
      </c>
      <c r="E48" s="41">
        <f t="shared" si="1"/>
        <v>1.8105524914871198E-8</v>
      </c>
    </row>
    <row r="49" spans="2:6" x14ac:dyDescent="0.25">
      <c r="B49" s="10">
        <v>2003</v>
      </c>
      <c r="C49" s="69">
        <v>4221.4390000000003</v>
      </c>
      <c r="D49" s="2">
        <v>203.78914</v>
      </c>
      <c r="E49" s="41">
        <f t="shared" si="1"/>
        <v>2.0714739755023256E-8</v>
      </c>
    </row>
    <row r="50" spans="2:6" x14ac:dyDescent="0.25">
      <c r="B50" s="10">
        <v>2004</v>
      </c>
      <c r="C50" s="70">
        <v>2268.058</v>
      </c>
      <c r="D50" s="2">
        <v>220.41551999999999</v>
      </c>
      <c r="E50" s="41">
        <f t="shared" si="1"/>
        <v>1.0289919693495267E-8</v>
      </c>
    </row>
    <row r="51" spans="2:6" x14ac:dyDescent="0.25">
      <c r="B51" s="10">
        <v>2005</v>
      </c>
      <c r="C51" s="69">
        <v>3775.5949999999998</v>
      </c>
      <c r="D51" s="2">
        <v>255.02369000000002</v>
      </c>
      <c r="E51" s="41">
        <f t="shared" si="1"/>
        <v>1.4804879499626092E-8</v>
      </c>
    </row>
    <row r="52" spans="2:6" x14ac:dyDescent="0.25">
      <c r="B52" s="10">
        <v>2006</v>
      </c>
      <c r="C52" s="70">
        <v>3769.5279999999998</v>
      </c>
      <c r="D52" s="2">
        <v>289.62955999999997</v>
      </c>
      <c r="E52" s="41">
        <f t="shared" si="1"/>
        <v>1.3014997502326767E-8</v>
      </c>
    </row>
    <row r="53" spans="2:6" x14ac:dyDescent="0.25">
      <c r="B53" s="10">
        <v>2007</v>
      </c>
      <c r="C53" s="69">
        <v>4219.6670000000004</v>
      </c>
      <c r="D53" s="2">
        <v>315.86653999999999</v>
      </c>
      <c r="E53" s="41">
        <f t="shared" si="1"/>
        <v>1.3359018653890977E-8</v>
      </c>
    </row>
    <row r="54" spans="2:6" x14ac:dyDescent="0.25">
      <c r="B54" s="10">
        <v>2008</v>
      </c>
      <c r="C54" s="70">
        <v>4908.3850000000002</v>
      </c>
      <c r="D54" s="2">
        <v>356.99453000000005</v>
      </c>
      <c r="E54" s="41">
        <f t="shared" si="1"/>
        <v>1.3749188257870504E-8</v>
      </c>
    </row>
    <row r="55" spans="2:6" x14ac:dyDescent="0.25">
      <c r="B55" s="10">
        <v>2009</v>
      </c>
      <c r="C55" s="69">
        <v>4795.9279999999999</v>
      </c>
      <c r="D55" s="2">
        <v>413.96373999999997</v>
      </c>
      <c r="E55" s="41">
        <f t="shared" si="1"/>
        <v>1.1585381850110833E-8</v>
      </c>
    </row>
    <row r="56" spans="2:6" x14ac:dyDescent="0.25">
      <c r="B56" s="10">
        <v>2010</v>
      </c>
      <c r="C56" s="70">
        <v>912.50599999999997</v>
      </c>
      <c r="D56" s="2">
        <v>476.72912000000002</v>
      </c>
      <c r="E56" s="41">
        <f t="shared" si="1"/>
        <v>1.9140974648244686E-9</v>
      </c>
    </row>
    <row r="57" spans="2:6" x14ac:dyDescent="0.25">
      <c r="B57" s="10">
        <v>2011</v>
      </c>
      <c r="C57" s="69">
        <v>1611.5440000000001</v>
      </c>
      <c r="D57" s="2">
        <v>449.90528999999998</v>
      </c>
      <c r="E57" s="41">
        <f t="shared" si="1"/>
        <v>3.5819627726537737E-9</v>
      </c>
    </row>
    <row r="58" spans="2:6" x14ac:dyDescent="0.25">
      <c r="B58" s="10">
        <v>2012</v>
      </c>
      <c r="C58" s="70">
        <v>1734.827</v>
      </c>
      <c r="D58" s="2">
        <v>494.70812999999998</v>
      </c>
      <c r="E58" s="41">
        <f t="shared" si="1"/>
        <v>3.5067687284621743E-9</v>
      </c>
    </row>
    <row r="59" spans="2:6" x14ac:dyDescent="0.25">
      <c r="B59" s="10">
        <v>2013</v>
      </c>
      <c r="C59" s="69">
        <v>1652.723</v>
      </c>
      <c r="D59" s="2">
        <v>585.44633999999996</v>
      </c>
      <c r="E59" s="41">
        <f t="shared" si="1"/>
        <v>2.8230136343494778E-9</v>
      </c>
    </row>
    <row r="60" spans="2:6" x14ac:dyDescent="0.25">
      <c r="B60" s="10">
        <v>2014</v>
      </c>
      <c r="C60" s="70">
        <v>1246.8779999999999</v>
      </c>
      <c r="D60" s="2">
        <v>607.30944999999997</v>
      </c>
      <c r="E60" s="41">
        <f t="shared" si="1"/>
        <v>2.0531180603232834E-9</v>
      </c>
    </row>
    <row r="61" spans="2:6" x14ac:dyDescent="0.25">
      <c r="B61" s="11">
        <v>2015</v>
      </c>
      <c r="C61" s="69">
        <v>520.46799999999996</v>
      </c>
      <c r="D61" s="2">
        <v>645.33130000000006</v>
      </c>
      <c r="E61" s="41">
        <f t="shared" si="1"/>
        <v>8.0651287176059779E-10</v>
      </c>
    </row>
    <row r="62" spans="2:6" x14ac:dyDescent="0.25">
      <c r="B62" t="s">
        <v>92</v>
      </c>
    </row>
    <row r="64" spans="2:6" x14ac:dyDescent="0.25">
      <c r="B64" s="7"/>
      <c r="F64" s="25"/>
    </row>
    <row r="66" spans="2:12" ht="15.75" x14ac:dyDescent="0.25">
      <c r="B66" s="130" t="s">
        <v>84</v>
      </c>
      <c r="C66" s="130"/>
      <c r="D66" s="130"/>
      <c r="E66" s="130"/>
    </row>
    <row r="67" spans="2:12" ht="75" x14ac:dyDescent="0.25">
      <c r="B67" s="12" t="s">
        <v>3</v>
      </c>
      <c r="C67" s="13" t="s">
        <v>133</v>
      </c>
      <c r="D67" s="13" t="s">
        <v>87</v>
      </c>
      <c r="E67" s="14" t="s">
        <v>82</v>
      </c>
    </row>
    <row r="68" spans="2:12" x14ac:dyDescent="0.25">
      <c r="B68" s="10">
        <v>1991</v>
      </c>
      <c r="C68" s="3">
        <f>C6+C37</f>
        <v>2540.4969999999998</v>
      </c>
      <c r="D68" s="2">
        <f>D37*2</f>
        <v>61.77328</v>
      </c>
      <c r="E68" s="19">
        <f t="shared" ref="E68:E92" si="2">(C68/D68)/1000000</f>
        <v>4.1126147097903816E-5</v>
      </c>
      <c r="G68" s="7" t="s">
        <v>85</v>
      </c>
      <c r="J68" s="1"/>
      <c r="K68" t="s">
        <v>10</v>
      </c>
      <c r="L68" s="7" t="s">
        <v>86</v>
      </c>
    </row>
    <row r="69" spans="2:12" x14ac:dyDescent="0.25">
      <c r="B69" s="10">
        <v>1992</v>
      </c>
      <c r="C69" s="3">
        <f t="shared" ref="C69:C92" si="3">C7+C38</f>
        <v>4566.83</v>
      </c>
      <c r="D69" s="2">
        <f t="shared" ref="D69:D92" si="4">D38*2</f>
        <v>73.497559999999993</v>
      </c>
      <c r="E69" s="19">
        <f t="shared" si="2"/>
        <v>6.2135804236222269E-5</v>
      </c>
    </row>
    <row r="70" spans="2:12" x14ac:dyDescent="0.25">
      <c r="B70" s="10">
        <v>1993</v>
      </c>
      <c r="C70" s="3">
        <f t="shared" si="3"/>
        <v>5223.7889999999998</v>
      </c>
      <c r="D70" s="2">
        <f t="shared" si="4"/>
        <v>108.32755999999999</v>
      </c>
      <c r="E70" s="19">
        <f t="shared" si="2"/>
        <v>4.8222160639453156E-5</v>
      </c>
    </row>
    <row r="71" spans="2:12" x14ac:dyDescent="0.25">
      <c r="B71" s="10">
        <v>1994</v>
      </c>
      <c r="C71" s="3">
        <f t="shared" si="3"/>
        <v>6507.5139999999992</v>
      </c>
      <c r="D71" s="2">
        <f t="shared" si="4"/>
        <v>165.22766000000001</v>
      </c>
      <c r="E71" s="19">
        <f t="shared" si="2"/>
        <v>3.9385136846941964E-5</v>
      </c>
    </row>
    <row r="72" spans="2:12" x14ac:dyDescent="0.25">
      <c r="B72" s="10">
        <v>1995</v>
      </c>
      <c r="C72" s="3">
        <f t="shared" si="3"/>
        <v>6083.8649999999998</v>
      </c>
      <c r="D72" s="2">
        <f t="shared" si="4"/>
        <v>194.95656</v>
      </c>
      <c r="E72" s="19">
        <f t="shared" si="2"/>
        <v>3.1206259486728734E-5</v>
      </c>
    </row>
    <row r="73" spans="2:12" x14ac:dyDescent="0.25">
      <c r="B73" s="10">
        <v>1996</v>
      </c>
      <c r="C73" s="3">
        <f t="shared" si="3"/>
        <v>7333.5839999999998</v>
      </c>
      <c r="D73" s="2">
        <f t="shared" si="4"/>
        <v>274.80944</v>
      </c>
      <c r="E73" s="19">
        <f t="shared" si="2"/>
        <v>2.6686070172844137E-5</v>
      </c>
    </row>
    <row r="74" spans="2:12" x14ac:dyDescent="0.25">
      <c r="B74" s="10">
        <v>1997</v>
      </c>
      <c r="C74" s="3">
        <f t="shared" si="3"/>
        <v>4910.7460000000001</v>
      </c>
      <c r="D74" s="2">
        <f t="shared" si="4"/>
        <v>336.80086</v>
      </c>
      <c r="E74" s="19">
        <f t="shared" si="2"/>
        <v>1.4580562531817764E-5</v>
      </c>
    </row>
    <row r="75" spans="2:12" x14ac:dyDescent="0.25">
      <c r="B75" s="10">
        <v>1998</v>
      </c>
      <c r="C75" s="3">
        <f t="shared" si="3"/>
        <v>4482.2569999999996</v>
      </c>
      <c r="D75" s="2">
        <f t="shared" si="4"/>
        <v>369.28847999999999</v>
      </c>
      <c r="E75" s="19">
        <f t="shared" si="2"/>
        <v>1.2137548942766911E-5</v>
      </c>
    </row>
    <row r="76" spans="2:12" x14ac:dyDescent="0.25">
      <c r="B76" s="10">
        <v>1999</v>
      </c>
      <c r="C76" s="3">
        <f t="shared" si="3"/>
        <v>5171.7209999999995</v>
      </c>
      <c r="D76" s="2">
        <f t="shared" si="4"/>
        <v>364.99447999999995</v>
      </c>
      <c r="E76" s="19">
        <f t="shared" si="2"/>
        <v>1.416931291673233E-5</v>
      </c>
    </row>
    <row r="77" spans="2:12" x14ac:dyDescent="0.25">
      <c r="B77" s="10">
        <v>2000</v>
      </c>
      <c r="C77" s="3">
        <f t="shared" si="3"/>
        <v>4215.1030000000001</v>
      </c>
      <c r="D77" s="2">
        <f t="shared" si="4"/>
        <v>347.67599999999999</v>
      </c>
      <c r="E77" s="19">
        <f t="shared" si="2"/>
        <v>1.2123652481045572E-5</v>
      </c>
    </row>
    <row r="78" spans="2:12" x14ac:dyDescent="0.25">
      <c r="B78" s="10">
        <v>2001</v>
      </c>
      <c r="C78" s="3">
        <f t="shared" si="3"/>
        <v>5415.96</v>
      </c>
      <c r="D78" s="2">
        <f t="shared" si="4"/>
        <v>339.14509999999996</v>
      </c>
      <c r="E78" s="19">
        <f t="shared" si="2"/>
        <v>1.5969447885285679E-5</v>
      </c>
    </row>
    <row r="79" spans="2:12" x14ac:dyDescent="0.25">
      <c r="B79" s="10">
        <v>2002</v>
      </c>
      <c r="C79" s="3">
        <f t="shared" si="3"/>
        <v>4732.808</v>
      </c>
      <c r="D79" s="2">
        <f t="shared" si="4"/>
        <v>386.16775999999999</v>
      </c>
      <c r="E79" s="19">
        <f t="shared" si="2"/>
        <v>1.2255834096559486E-5</v>
      </c>
    </row>
    <row r="80" spans="2:12" x14ac:dyDescent="0.25">
      <c r="B80" s="10">
        <v>2003</v>
      </c>
      <c r="C80" s="3">
        <f t="shared" si="3"/>
        <v>5663.1210000000001</v>
      </c>
      <c r="D80" s="2">
        <f t="shared" si="4"/>
        <v>407.57828000000001</v>
      </c>
      <c r="E80" s="19">
        <f t="shared" si="2"/>
        <v>1.3894560328386488E-5</v>
      </c>
    </row>
    <row r="81" spans="2:5" x14ac:dyDescent="0.25">
      <c r="B81" s="10">
        <v>2004</v>
      </c>
      <c r="C81" s="3">
        <f t="shared" si="3"/>
        <v>4389.7089999999998</v>
      </c>
      <c r="D81" s="2">
        <f t="shared" si="4"/>
        <v>440.83103999999997</v>
      </c>
      <c r="E81" s="19">
        <f t="shared" si="2"/>
        <v>9.9578037880454166E-6</v>
      </c>
    </row>
    <row r="82" spans="2:5" x14ac:dyDescent="0.25">
      <c r="B82" s="10">
        <v>2005</v>
      </c>
      <c r="C82" s="3">
        <f t="shared" si="3"/>
        <v>7225.616</v>
      </c>
      <c r="D82" s="2">
        <f t="shared" si="4"/>
        <v>510.04738000000003</v>
      </c>
      <c r="E82" s="19">
        <f t="shared" si="2"/>
        <v>1.4166558408750183E-5</v>
      </c>
    </row>
    <row r="83" spans="2:5" x14ac:dyDescent="0.25">
      <c r="B83" s="10">
        <v>2006</v>
      </c>
      <c r="C83" s="3">
        <f t="shared" si="3"/>
        <v>5723.2109999999993</v>
      </c>
      <c r="D83" s="2">
        <f t="shared" si="4"/>
        <v>579.25911999999994</v>
      </c>
      <c r="E83" s="19">
        <f t="shared" si="2"/>
        <v>9.8802259686476753E-6</v>
      </c>
    </row>
    <row r="84" spans="2:5" x14ac:dyDescent="0.25">
      <c r="B84" s="10">
        <v>2007</v>
      </c>
      <c r="C84" s="3">
        <f t="shared" si="3"/>
        <v>6859.4070000000002</v>
      </c>
      <c r="D84" s="2">
        <f t="shared" si="4"/>
        <v>631.73307999999997</v>
      </c>
      <c r="E84" s="19">
        <f t="shared" si="2"/>
        <v>1.0858077908473623E-5</v>
      </c>
    </row>
    <row r="85" spans="2:5" x14ac:dyDescent="0.25">
      <c r="B85" s="10">
        <v>2008</v>
      </c>
      <c r="C85" s="3">
        <f t="shared" si="3"/>
        <v>6625.7110000000002</v>
      </c>
      <c r="D85" s="2">
        <f t="shared" si="4"/>
        <v>713.98906000000011</v>
      </c>
      <c r="E85" s="19">
        <f t="shared" si="2"/>
        <v>9.279849469962466E-6</v>
      </c>
    </row>
    <row r="86" spans="2:5" x14ac:dyDescent="0.25">
      <c r="B86" s="10">
        <v>2009</v>
      </c>
      <c r="C86" s="3">
        <f t="shared" si="3"/>
        <v>6371.5590000000002</v>
      </c>
      <c r="D86" s="2">
        <f t="shared" si="4"/>
        <v>827.92747999999995</v>
      </c>
      <c r="E86" s="19">
        <f t="shared" si="2"/>
        <v>7.6957935977677672E-6</v>
      </c>
    </row>
    <row r="87" spans="2:5" x14ac:dyDescent="0.25">
      <c r="B87" s="10">
        <v>2010</v>
      </c>
      <c r="C87" s="3">
        <f t="shared" si="3"/>
        <v>2417.3989999999999</v>
      </c>
      <c r="D87" s="2">
        <f t="shared" si="4"/>
        <v>953.45824000000005</v>
      </c>
      <c r="E87" s="19">
        <f t="shared" si="2"/>
        <v>2.5354010260585715E-6</v>
      </c>
    </row>
    <row r="88" spans="2:5" x14ac:dyDescent="0.25">
      <c r="B88" s="10">
        <v>2011</v>
      </c>
      <c r="C88" s="3">
        <f t="shared" si="3"/>
        <v>2584.27</v>
      </c>
      <c r="D88" s="2">
        <f t="shared" si="4"/>
        <v>899.81057999999996</v>
      </c>
      <c r="E88" s="19">
        <f t="shared" si="2"/>
        <v>2.8720155746557235E-6</v>
      </c>
    </row>
    <row r="89" spans="2:5" x14ac:dyDescent="0.25">
      <c r="B89" s="10">
        <v>2012</v>
      </c>
      <c r="C89" s="3">
        <f t="shared" si="3"/>
        <v>2790.105</v>
      </c>
      <c r="D89" s="2">
        <f t="shared" si="4"/>
        <v>989.41625999999997</v>
      </c>
      <c r="E89" s="19">
        <f t="shared" si="2"/>
        <v>2.8199506242195778E-6</v>
      </c>
    </row>
    <row r="90" spans="2:5" x14ac:dyDescent="0.25">
      <c r="B90" s="10">
        <v>2013</v>
      </c>
      <c r="C90" s="3">
        <f t="shared" si="3"/>
        <v>3056.1419999999998</v>
      </c>
      <c r="D90" s="2">
        <f t="shared" si="4"/>
        <v>1170.8926799999999</v>
      </c>
      <c r="E90" s="19">
        <f t="shared" si="2"/>
        <v>2.610095743360527E-6</v>
      </c>
    </row>
    <row r="91" spans="2:5" x14ac:dyDescent="0.25">
      <c r="B91" s="10">
        <v>2014</v>
      </c>
      <c r="C91" s="3">
        <f t="shared" si="3"/>
        <v>2954.5349999999999</v>
      </c>
      <c r="D91" s="2">
        <f t="shared" si="4"/>
        <v>1214.6188999999999</v>
      </c>
      <c r="E91" s="19">
        <f t="shared" si="2"/>
        <v>2.4324790269606374E-6</v>
      </c>
    </row>
    <row r="92" spans="2:5" x14ac:dyDescent="0.25">
      <c r="B92" s="11">
        <v>2015</v>
      </c>
      <c r="C92" s="3">
        <f t="shared" si="3"/>
        <v>2854.0149999999999</v>
      </c>
      <c r="D92" s="2">
        <f t="shared" si="4"/>
        <v>1290.6626000000001</v>
      </c>
      <c r="E92" s="19">
        <f t="shared" si="2"/>
        <v>2.2112789198354394E-6</v>
      </c>
    </row>
    <row r="93" spans="2:5" x14ac:dyDescent="0.25">
      <c r="B93" t="s">
        <v>92</v>
      </c>
      <c r="C93" s="45"/>
      <c r="D93" s="6"/>
      <c r="E93" s="20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88"/>
  <sheetViews>
    <sheetView topLeftCell="A31" zoomScale="80" zoomScaleNormal="80" workbookViewId="0">
      <selection activeCell="F34" sqref="F34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9.1406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17" ht="15.75" x14ac:dyDescent="0.25">
      <c r="A3" s="138" t="s">
        <v>2</v>
      </c>
      <c r="B3" s="139"/>
      <c r="C3" s="139"/>
      <c r="D3" s="139"/>
      <c r="E3" s="139"/>
      <c r="F3" s="139"/>
    </row>
    <row r="4" spans="1:17" ht="90" x14ac:dyDescent="0.25">
      <c r="A4" s="12" t="s">
        <v>3</v>
      </c>
      <c r="B4" s="13" t="s">
        <v>134</v>
      </c>
      <c r="C4" s="29" t="s">
        <v>22</v>
      </c>
      <c r="D4" s="33" t="s">
        <v>139</v>
      </c>
      <c r="E4" s="13" t="s">
        <v>27</v>
      </c>
      <c r="F4" s="14" t="s">
        <v>28</v>
      </c>
    </row>
    <row r="5" spans="1:17" x14ac:dyDescent="0.25">
      <c r="A5" s="10">
        <v>1991</v>
      </c>
      <c r="B5" s="59">
        <v>-1072.2910000000002</v>
      </c>
      <c r="C5" s="27">
        <v>881.41649700000005</v>
      </c>
      <c r="D5" s="2">
        <v>1806.394</v>
      </c>
      <c r="E5" s="5">
        <v>218.072048</v>
      </c>
      <c r="F5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-1.2162533521772783E-3</v>
      </c>
      <c r="G5" s="7" t="s">
        <v>96</v>
      </c>
      <c r="L5" s="49" t="s">
        <v>97</v>
      </c>
    </row>
    <row r="6" spans="1:17" x14ac:dyDescent="0.25">
      <c r="A6" s="10">
        <v>1992</v>
      </c>
      <c r="B6" s="59">
        <v>-1738.4459999999999</v>
      </c>
      <c r="C6" s="27">
        <v>983.24995899999999</v>
      </c>
      <c r="D6" s="2">
        <v>3152.6379999999999</v>
      </c>
      <c r="E6" s="5">
        <v>433.62799100000001</v>
      </c>
      <c r="F6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-1.7672816980892714E-3</v>
      </c>
      <c r="G6" s="1"/>
      <c r="I6" s="7"/>
      <c r="J6" s="7"/>
      <c r="K6" s="7"/>
      <c r="L6" s="36"/>
      <c r="M6" s="36"/>
      <c r="N6" s="36"/>
      <c r="O6" s="36"/>
      <c r="P6" s="36"/>
      <c r="Q6" s="36"/>
    </row>
    <row r="7" spans="1:17" x14ac:dyDescent="0.25">
      <c r="A7" s="10">
        <v>1993</v>
      </c>
      <c r="B7" s="59">
        <v>-1206.7849999999999</v>
      </c>
      <c r="C7" s="27">
        <v>959.41936999999996</v>
      </c>
      <c r="D7" s="2">
        <v>3215.2869999999998</v>
      </c>
      <c r="E7" s="5">
        <v>473.60294699999997</v>
      </c>
      <c r="F7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-1.2572078700555627E-3</v>
      </c>
      <c r="G7" s="1"/>
      <c r="M7" s="49"/>
      <c r="N7" s="49"/>
      <c r="O7" s="49"/>
    </row>
    <row r="8" spans="1:17" x14ac:dyDescent="0.25">
      <c r="A8" s="10">
        <v>1994</v>
      </c>
      <c r="B8" s="59">
        <v>-2442.4479999999999</v>
      </c>
      <c r="C8" s="27">
        <v>1017.331577</v>
      </c>
      <c r="D8" s="2">
        <v>4474.9809999999998</v>
      </c>
      <c r="E8" s="5">
        <v>632.10264900000004</v>
      </c>
      <c r="F8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-2.3993469009053157E-3</v>
      </c>
      <c r="G8" s="1"/>
      <c r="L8" s="49" t="s">
        <v>137</v>
      </c>
      <c r="M8" s="49"/>
      <c r="N8" s="49"/>
    </row>
    <row r="9" spans="1:17" x14ac:dyDescent="0.25">
      <c r="A9" s="10">
        <v>1995</v>
      </c>
      <c r="B9" s="59">
        <v>-1900.6889999999999</v>
      </c>
      <c r="C9" s="27">
        <v>1038.4779860000001</v>
      </c>
      <c r="D9" s="2">
        <v>3992.277</v>
      </c>
      <c r="E9" s="5">
        <v>792.92823299999998</v>
      </c>
      <c r="F9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-1.8288676936588195E-3</v>
      </c>
      <c r="G9" s="1"/>
    </row>
    <row r="10" spans="1:17" x14ac:dyDescent="0.25">
      <c r="A10" s="10">
        <v>1996</v>
      </c>
      <c r="B10" s="59">
        <v>-3426.0199999999995</v>
      </c>
      <c r="C10" s="27">
        <v>1068.2126330000001</v>
      </c>
      <c r="D10" s="2">
        <v>5379.8019999999997</v>
      </c>
      <c r="E10" s="5">
        <v>1032.147324</v>
      </c>
      <c r="F10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-3.2041493800529512E-3</v>
      </c>
      <c r="G10" s="1"/>
      <c r="H10" s="49"/>
    </row>
    <row r="11" spans="1:17" x14ac:dyDescent="0.25">
      <c r="A11" s="10">
        <v>1997</v>
      </c>
      <c r="B11" s="59">
        <v>-2731.4639999999999</v>
      </c>
      <c r="C11" s="27">
        <v>1133.477727</v>
      </c>
      <c r="D11" s="2">
        <v>3821.105</v>
      </c>
      <c r="E11" s="5">
        <v>969.76201700000001</v>
      </c>
      <c r="F11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-2.4077482884349425E-3</v>
      </c>
      <c r="G11" s="1"/>
    </row>
    <row r="12" spans="1:17" x14ac:dyDescent="0.25">
      <c r="A12" s="10">
        <v>1998</v>
      </c>
      <c r="B12" s="59">
        <v>-2595.123</v>
      </c>
      <c r="C12" s="27">
        <v>1185.2250309999999</v>
      </c>
      <c r="D12" s="2">
        <v>3538.69</v>
      </c>
      <c r="E12" s="5">
        <v>942.82702099999995</v>
      </c>
      <c r="F12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-2.1878210427398511E-3</v>
      </c>
      <c r="G12" s="1"/>
    </row>
    <row r="13" spans="1:17" x14ac:dyDescent="0.25">
      <c r="A13" s="10">
        <v>1999</v>
      </c>
      <c r="B13" s="59">
        <v>-1485.5729999999999</v>
      </c>
      <c r="C13" s="27">
        <v>1221.7329010000001</v>
      </c>
      <c r="D13" s="2">
        <v>3328.6469999999999</v>
      </c>
      <c r="E13" s="5">
        <v>718.368246</v>
      </c>
      <c r="F13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-1.2152410794389306E-3</v>
      </c>
      <c r="G13" s="1"/>
    </row>
    <row r="14" spans="1:17" x14ac:dyDescent="0.25">
      <c r="A14" s="10">
        <v>2000</v>
      </c>
      <c r="B14" s="59">
        <v>-631.43099999999981</v>
      </c>
      <c r="C14" s="27">
        <v>1182.814787</v>
      </c>
      <c r="D14" s="2">
        <v>2423.2669999999998</v>
      </c>
      <c r="E14" s="5">
        <v>800.71074399999998</v>
      </c>
      <c r="F14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-5.3347645515247361E-4</v>
      </c>
      <c r="G14" s="1"/>
    </row>
    <row r="15" spans="1:17" x14ac:dyDescent="0.25">
      <c r="A15" s="10">
        <v>2001</v>
      </c>
      <c r="B15" s="59">
        <v>-1501.42</v>
      </c>
      <c r="C15" s="27">
        <v>1144.9792580000001</v>
      </c>
      <c r="D15" s="2">
        <v>3458.69</v>
      </c>
      <c r="E15" s="5">
        <v>806.63776399999995</v>
      </c>
      <c r="F15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-1.3103844318129488E-3</v>
      </c>
      <c r="G15" s="1"/>
    </row>
    <row r="16" spans="1:17" x14ac:dyDescent="0.25">
      <c r="A16" s="10">
        <v>2002</v>
      </c>
      <c r="B16" s="59">
        <v>-2258.9620000000004</v>
      </c>
      <c r="C16" s="27">
        <v>1201.0997769999999</v>
      </c>
      <c r="D16" s="2">
        <v>3495.8850000000002</v>
      </c>
      <c r="E16" s="5">
        <v>914.29077400000006</v>
      </c>
      <c r="F16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-1.8793141116753766E-3</v>
      </c>
      <c r="G16" s="1"/>
    </row>
    <row r="17" spans="1:7" x14ac:dyDescent="0.25">
      <c r="A17" s="10">
        <v>2003</v>
      </c>
      <c r="B17" s="59">
        <v>-2779.7570000000005</v>
      </c>
      <c r="C17" s="27">
        <v>1198.522637</v>
      </c>
      <c r="D17" s="2">
        <v>4221.4390000000003</v>
      </c>
      <c r="E17" s="5">
        <v>964.07554868999978</v>
      </c>
      <c r="F17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-2.3174554339943664E-3</v>
      </c>
      <c r="G17" s="1"/>
    </row>
    <row r="18" spans="1:7" x14ac:dyDescent="0.25">
      <c r="A18" s="10">
        <v>2004</v>
      </c>
      <c r="B18" s="59">
        <v>-146.40700000000015</v>
      </c>
      <c r="C18" s="27">
        <v>1414.1092617499999</v>
      </c>
      <c r="D18" s="2">
        <v>2268.058</v>
      </c>
      <c r="E18" s="5">
        <v>1096.5766716700007</v>
      </c>
      <c r="F18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-1.0345279536387642E-4</v>
      </c>
      <c r="G18" s="1"/>
    </row>
    <row r="19" spans="1:7" x14ac:dyDescent="0.25">
      <c r="A19" s="10">
        <v>2005</v>
      </c>
      <c r="B19" s="59">
        <v>-325.57399999999961</v>
      </c>
      <c r="C19" s="27">
        <v>1724.6291241099998</v>
      </c>
      <c r="D19" s="2">
        <v>3775.5949999999998</v>
      </c>
      <c r="E19" s="5">
        <v>1034.5303382900004</v>
      </c>
      <c r="F19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-1.8866596579278859E-4</v>
      </c>
      <c r="G19" s="1"/>
    </row>
    <row r="20" spans="1:7" x14ac:dyDescent="0.25">
      <c r="A20" s="10">
        <v>2006</v>
      </c>
      <c r="B20" s="59">
        <v>-1815.8449999999998</v>
      </c>
      <c r="C20" s="27">
        <v>1872.3784980099981</v>
      </c>
      <c r="D20" s="2">
        <v>3769.5279999999998</v>
      </c>
      <c r="E20" s="5">
        <v>1257.3132665799999</v>
      </c>
      <c r="F20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-9.691557927486434E-4</v>
      </c>
      <c r="G20" s="1"/>
    </row>
    <row r="21" spans="1:7" x14ac:dyDescent="0.25">
      <c r="A21" s="10">
        <v>2007</v>
      </c>
      <c r="B21" s="59">
        <v>-1579.9270000000006</v>
      </c>
      <c r="C21" s="26">
        <v>2122.5042788000019</v>
      </c>
      <c r="D21" s="2">
        <v>4219.6670000000004</v>
      </c>
      <c r="E21" s="5">
        <v>1695.4131790200004</v>
      </c>
      <c r="F21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-7.4377517611258731E-4</v>
      </c>
      <c r="G21" s="1"/>
    </row>
    <row r="22" spans="1:7" x14ac:dyDescent="0.25">
      <c r="A22" s="10">
        <v>2008</v>
      </c>
      <c r="B22" s="59">
        <v>-3191.0590000000002</v>
      </c>
      <c r="C22" s="26">
        <v>2146.3400352200028</v>
      </c>
      <c r="D22" s="2">
        <v>4908.3850000000002</v>
      </c>
      <c r="E22" s="5">
        <v>2236.8973823599977</v>
      </c>
      <c r="F22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-1.48519652779432E-3</v>
      </c>
      <c r="G22" s="1"/>
    </row>
    <row r="23" spans="1:7" x14ac:dyDescent="0.25">
      <c r="A23" s="10">
        <v>2009</v>
      </c>
      <c r="B23" s="59">
        <v>-3220.2969999999996</v>
      </c>
      <c r="C23" s="26">
        <v>2095.9589286500013</v>
      </c>
      <c r="D23" s="2">
        <v>4795.9279999999999</v>
      </c>
      <c r="E23" s="5">
        <v>1750.4526144300014</v>
      </c>
      <c r="F23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-1.535149257929575E-3</v>
      </c>
      <c r="G23" s="1"/>
    </row>
    <row r="24" spans="1:7" x14ac:dyDescent="0.25">
      <c r="A24" s="10">
        <v>2010</v>
      </c>
      <c r="B24" s="59">
        <v>592.38700000000006</v>
      </c>
      <c r="C24" s="26">
        <v>2166.04730251</v>
      </c>
      <c r="D24" s="2">
        <v>912.50599999999997</v>
      </c>
      <c r="E24" s="5">
        <v>2018.9772672800029</v>
      </c>
      <c r="F24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2.7323288292683309E-4</v>
      </c>
      <c r="G24" s="1"/>
    </row>
    <row r="25" spans="1:7" x14ac:dyDescent="0.25">
      <c r="A25" s="10">
        <v>2011</v>
      </c>
      <c r="B25" s="59">
        <v>-638.8180000000001</v>
      </c>
      <c r="C25" s="26">
        <v>2284.3647235700028</v>
      </c>
      <c r="D25" s="2">
        <v>1611.5440000000001</v>
      </c>
      <c r="E25" s="5">
        <v>2563.9037290099977</v>
      </c>
      <c r="F25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-2.7933447173403005E-4</v>
      </c>
      <c r="G25" s="1"/>
    </row>
    <row r="26" spans="1:7" x14ac:dyDescent="0.25">
      <c r="A26" s="10">
        <v>2012</v>
      </c>
      <c r="B26" s="59">
        <v>-679.54899999999998</v>
      </c>
      <c r="C26" s="26">
        <v>2636.1765412600002</v>
      </c>
      <c r="D26" s="2">
        <v>1734.827</v>
      </c>
      <c r="E26" s="5">
        <v>2705.0876101299973</v>
      </c>
      <c r="F26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-2.5751401372670031E-4</v>
      </c>
      <c r="G26" s="1"/>
    </row>
    <row r="27" spans="1:7" x14ac:dyDescent="0.25">
      <c r="A27" s="10">
        <v>2013</v>
      </c>
      <c r="B27" s="59">
        <v>-249.30399999999986</v>
      </c>
      <c r="C27" s="26">
        <v>2651.0931387399996</v>
      </c>
      <c r="D27" s="2">
        <v>1652.723</v>
      </c>
      <c r="E27" s="5">
        <v>2581.5323848800022</v>
      </c>
      <c r="F27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-9.394670820531332E-5</v>
      </c>
      <c r="G27" s="1"/>
    </row>
    <row r="28" spans="1:7" x14ac:dyDescent="0.25">
      <c r="A28" s="10">
        <v>2014</v>
      </c>
      <c r="B28" s="59">
        <v>460.779</v>
      </c>
      <c r="C28" s="26">
        <v>2568.3085408999968</v>
      </c>
      <c r="D28" s="2">
        <v>1246.8779999999999</v>
      </c>
      <c r="E28" s="5">
        <v>2532.8550979199972</v>
      </c>
      <c r="F28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1.7923276041738879E-4</v>
      </c>
      <c r="G28" s="1"/>
    </row>
    <row r="29" spans="1:7" x14ac:dyDescent="0.25">
      <c r="A29" s="11">
        <v>2015</v>
      </c>
      <c r="B29" s="59">
        <v>1813.0790000000002</v>
      </c>
      <c r="C29" s="3">
        <v>2443.4283642899991</v>
      </c>
      <c r="D29" s="2">
        <v>520.46799999999996</v>
      </c>
      <c r="E29" s="5">
        <v>2376.0279714999997</v>
      </c>
      <c r="F29" s="72">
        <f>(Tabla1910111331[[#This Row],[Total Balanza Comercial de Colombia (US$ miles)]]/1000)/(Tabla1910111331[[#This Row],[Total exportaciones de Colombia hacia el mundo
  (US$ millones FOB)]]+Tabla1910111331[[#This Row],[Total Importaciones Colombia (US$millones CIF)]]/1000)</f>
        <v>7.4130171886867323E-4</v>
      </c>
      <c r="G29" s="1"/>
    </row>
    <row r="30" spans="1:7" x14ac:dyDescent="0.25">
      <c r="A30" t="s">
        <v>91</v>
      </c>
      <c r="B30" s="15"/>
      <c r="C30" s="15"/>
      <c r="D30" s="16"/>
      <c r="E30" s="16"/>
      <c r="F30" s="44"/>
      <c r="G30" s="1"/>
    </row>
    <row r="32" spans="1:7" ht="15.75" x14ac:dyDescent="0.25">
      <c r="A32" s="130" t="s">
        <v>21</v>
      </c>
      <c r="B32" s="130"/>
      <c r="C32" s="130"/>
      <c r="D32" s="130"/>
      <c r="E32" s="130"/>
      <c r="F32" s="130"/>
      <c r="G32" s="130"/>
    </row>
    <row r="33" spans="1:17" ht="75" x14ac:dyDescent="0.25">
      <c r="A33" s="28" t="s">
        <v>3</v>
      </c>
      <c r="B33" s="29" t="s">
        <v>135</v>
      </c>
      <c r="C33" s="29" t="s">
        <v>121</v>
      </c>
      <c r="D33" s="29" t="s">
        <v>159</v>
      </c>
      <c r="E33" s="29" t="s">
        <v>160</v>
      </c>
      <c r="F33" s="29" t="s">
        <v>23</v>
      </c>
      <c r="G33" s="30" t="s">
        <v>24</v>
      </c>
    </row>
    <row r="34" spans="1:17" x14ac:dyDescent="0.25">
      <c r="A34" s="31">
        <v>1991</v>
      </c>
      <c r="B34" s="73">
        <v>734.10299999999995</v>
      </c>
      <c r="C34" s="26">
        <v>2823.8</v>
      </c>
      <c r="D34" s="27">
        <v>30.188848</v>
      </c>
      <c r="E34" s="27">
        <v>7.2686346239999997</v>
      </c>
      <c r="F34" s="32">
        <f>((Tabla191011131432[[#This Row],[Total exportaciones del grupo
 a USA (US$ miles)]])/(Tabla191011131432[[#This Row],[Total exportaciones
 a USA (US$ miles)]])/((D34/10000)/E34))</f>
        <v>625.9351820976126</v>
      </c>
      <c r="G34" s="2" t="str">
        <f>IF(Tabla191011131432[[#This Row],[Indice de Balassa]]&gt;0.33,"VENTAJA","NO VENTAJA")</f>
        <v>VENTAJA</v>
      </c>
    </row>
    <row r="35" spans="1:17" x14ac:dyDescent="0.25">
      <c r="A35" s="31">
        <v>1992</v>
      </c>
      <c r="B35" s="73">
        <v>1414.192</v>
      </c>
      <c r="C35" s="26">
        <v>2722.5</v>
      </c>
      <c r="D35" s="27">
        <v>22.768632</v>
      </c>
      <c r="E35" s="27">
        <v>6.9160427520000001</v>
      </c>
      <c r="F35" s="32">
        <f>((Tabla191011131432[[#This Row],[Total exportaciones del grupo
 a USA (US$ miles)]])/(Tabla191011131432[[#This Row],[Total exportaciones
 a USA (US$ miles)]])/((D35/10000)/E35))</f>
        <v>1577.8336689451917</v>
      </c>
      <c r="G35" s="2" t="str">
        <f>IF(Tabla191011131432[[#This Row],[Indice de Balassa]]&gt;0.33,"VENTAJA","NO VENTAJA")</f>
        <v>VENTAJA</v>
      </c>
    </row>
    <row r="36" spans="1:17" x14ac:dyDescent="0.25">
      <c r="A36" s="31">
        <v>1993</v>
      </c>
      <c r="B36" s="73">
        <v>2008.502</v>
      </c>
      <c r="C36" s="26">
        <v>2850.21</v>
      </c>
      <c r="D36" s="27">
        <v>5.0242079999999998</v>
      </c>
      <c r="E36" s="27">
        <v>7.1234385920000003</v>
      </c>
      <c r="F36" s="32">
        <f>((Tabla191011131432[[#This Row],[Total exportaciones del grupo
 a USA (US$ miles)]])/(Tabla191011131432[[#This Row],[Total exportaciones
 a USA (US$ miles)]])/((D36/10000)/E36))</f>
        <v>9991.1961015261804</v>
      </c>
      <c r="G36" s="2" t="str">
        <f>IF(Tabla191011131432[[#This Row],[Indice de Balassa]]&gt;0.33,"VENTAJA","NO VENTAJA")</f>
        <v>VENTAJA</v>
      </c>
      <c r="L36" s="52" t="s">
        <v>98</v>
      </c>
      <c r="M36" s="51"/>
      <c r="N36" s="51"/>
      <c r="O36" s="51"/>
      <c r="P36" s="51"/>
      <c r="Q36" s="51"/>
    </row>
    <row r="37" spans="1:17" x14ac:dyDescent="0.25">
      <c r="A37" s="31">
        <v>1994</v>
      </c>
      <c r="B37" s="73">
        <v>2032.5329999999999</v>
      </c>
      <c r="C37" s="26">
        <v>3164.92</v>
      </c>
      <c r="D37" s="27">
        <v>3.3892310000000001</v>
      </c>
      <c r="E37" s="27">
        <v>8.5375165440000007</v>
      </c>
      <c r="F37" s="32">
        <f>((Tabla191011131432[[#This Row],[Total exportaciones del grupo
 a USA (US$ miles)]])/(Tabla191011131432[[#This Row],[Total exportaciones
 a USA (US$ miles)]])/((D37/10000)/E37))</f>
        <v>16177.270853757333</v>
      </c>
      <c r="G37" s="2" t="str">
        <f>IF(Tabla191011131432[[#This Row],[Indice de Balassa]]&gt;0.33,"VENTAJA","NO VENTAJA")</f>
        <v>VENTAJA</v>
      </c>
      <c r="L37" s="50"/>
      <c r="M37" s="49" t="s">
        <v>99</v>
      </c>
      <c r="N37" s="49"/>
      <c r="O37" s="49"/>
      <c r="P37" s="49"/>
    </row>
    <row r="38" spans="1:17" x14ac:dyDescent="0.25">
      <c r="A38" s="31">
        <v>1995</v>
      </c>
      <c r="B38" s="73">
        <v>2091.5880000000002</v>
      </c>
      <c r="C38" s="26">
        <v>3627.72</v>
      </c>
      <c r="D38" s="27">
        <v>14.65184</v>
      </c>
      <c r="E38" s="27">
        <v>10.201048064</v>
      </c>
      <c r="F38" s="32">
        <f>((Tabla191011131432[[#This Row],[Total exportaciones del grupo
 a USA (US$ miles)]])/(Tabla191011131432[[#This Row],[Total exportaciones
 a USA (US$ miles)]])/((D38/10000)/E38))</f>
        <v>4014.1630458600603</v>
      </c>
      <c r="G38" s="2" t="str">
        <f>IF(Tabla191011131432[[#This Row],[Indice de Balassa]]&gt;0.33,"VENTAJA","NO VENTAJA")</f>
        <v>VENTAJA</v>
      </c>
      <c r="H38" s="7" t="s">
        <v>23</v>
      </c>
      <c r="J38" t="s">
        <v>10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1">
        <v>1996</v>
      </c>
      <c r="B39" s="73">
        <v>1953.7819999999999</v>
      </c>
      <c r="C39" s="26">
        <v>4282.93</v>
      </c>
      <c r="D39" s="27">
        <v>4.1298219999999999</v>
      </c>
      <c r="E39" s="27">
        <v>10.647555071999999</v>
      </c>
      <c r="F39" s="32">
        <f>((Tabla191011131432[[#This Row],[Total exportaciones del grupo
 a USA (US$ miles)]])/(Tabla191011131432[[#This Row],[Total exportaciones
 a USA (US$ miles)]])/((D39/10000)/E39))</f>
        <v>11761.255628269557</v>
      </c>
      <c r="G39" s="2" t="str">
        <f>IF(Tabla191011131432[[#This Row],[Indice de Balassa]]&gt;0.33,"VENTAJA","NO VENTAJA")</f>
        <v>VENTAJA</v>
      </c>
      <c r="L39" s="50"/>
      <c r="M39" s="49"/>
      <c r="N39" s="49"/>
      <c r="O39" s="49"/>
      <c r="P39" s="49"/>
      <c r="Q39" s="50"/>
    </row>
    <row r="40" spans="1:17" x14ac:dyDescent="0.25">
      <c r="A40" s="31">
        <v>1997</v>
      </c>
      <c r="B40" s="73">
        <v>1089.6410000000001</v>
      </c>
      <c r="C40" s="26">
        <v>4379.28</v>
      </c>
      <c r="D40" s="27">
        <v>10.508312999999999</v>
      </c>
      <c r="E40" s="27">
        <v>11.549019136</v>
      </c>
      <c r="F40" s="32">
        <f>((Tabla191011131432[[#This Row],[Total exportaciones del grupo
 a USA (US$ miles)]])/(Tabla191011131432[[#This Row],[Total exportaciones
 a USA (US$ miles)]])/((D40/10000)/E40))</f>
        <v>2734.5937892996435</v>
      </c>
      <c r="G40" s="2" t="str">
        <f>IF(Tabla191011131432[[#This Row],[Indice de Balassa]]&gt;0.33,"VENTAJA","NO VENTAJA")</f>
        <v>VENTAJA</v>
      </c>
      <c r="L40" s="36" t="s">
        <v>100</v>
      </c>
      <c r="M40" s="36"/>
      <c r="N40" s="36"/>
      <c r="O40" s="36"/>
      <c r="P40" s="36"/>
      <c r="Q40" s="36"/>
    </row>
    <row r="41" spans="1:17" x14ac:dyDescent="0.25">
      <c r="A41" s="31">
        <v>1998</v>
      </c>
      <c r="B41" s="73">
        <v>943.56700000000001</v>
      </c>
      <c r="C41" s="26">
        <v>4139.68</v>
      </c>
      <c r="D41" s="27">
        <v>66.977624000000006</v>
      </c>
      <c r="E41" s="27">
        <v>10.8212224</v>
      </c>
      <c r="F41" s="32">
        <f>((Tabla191011131432[[#This Row],[Total exportaciones del grupo
 a USA (US$ miles)]])/(Tabla191011131432[[#This Row],[Total exportaciones
 a USA (US$ miles)]])/((D41/10000)/E41))</f>
        <v>368.25831205224466</v>
      </c>
      <c r="G41" s="2" t="str">
        <f>IF(Tabla191011131432[[#This Row],[Indice de Balassa]]&gt;0.33,"VENTAJA","NO VENTAJA")</f>
        <v>VENTAJA</v>
      </c>
      <c r="M41" t="s">
        <v>101</v>
      </c>
    </row>
    <row r="42" spans="1:17" x14ac:dyDescent="0.25">
      <c r="A42" s="31">
        <v>1999</v>
      </c>
      <c r="B42" s="73">
        <v>1843.0740000000001</v>
      </c>
      <c r="C42" s="26">
        <v>5817.43</v>
      </c>
      <c r="D42" s="27">
        <v>11.153532999999999</v>
      </c>
      <c r="E42" s="27">
        <v>11.617030143999999</v>
      </c>
      <c r="F42" s="32">
        <f>((Tabla191011131432[[#This Row],[Total exportaciones del grupo
 a USA (US$ miles)]])/(Tabla191011131432[[#This Row],[Total exportaciones
 a USA (US$ miles)]])/((D42/10000)/E42))</f>
        <v>3299.8505117711957</v>
      </c>
      <c r="G42" s="2" t="str">
        <f>IF(Tabla191011131432[[#This Row],[Indice de Balassa]]&gt;0.33,"VENTAJA","NO VENTAJA")</f>
        <v>VENTAJA</v>
      </c>
    </row>
    <row r="43" spans="1:17" x14ac:dyDescent="0.25">
      <c r="A43" s="31">
        <v>2000</v>
      </c>
      <c r="B43" s="73">
        <v>1791.836</v>
      </c>
      <c r="C43" s="26">
        <v>6632.13</v>
      </c>
      <c r="D43" s="27">
        <v>7.954091</v>
      </c>
      <c r="E43" s="27">
        <v>13.158400846999999</v>
      </c>
      <c r="F43" s="32">
        <f>((Tabla191011131432[[#This Row],[Total exportaciones del grupo
 a USA (US$ miles)]])/(Tabla191011131432[[#This Row],[Total exportaciones
 a USA (US$ miles)]])/((D43/10000)/E43))</f>
        <v>4469.48808973003</v>
      </c>
      <c r="G43" s="2" t="str">
        <f>IF(Tabla191011131432[[#This Row],[Indice de Balassa]]&gt;0.33,"VENTAJA","NO VENTAJA")</f>
        <v>VENTAJA</v>
      </c>
    </row>
    <row r="44" spans="1:17" x14ac:dyDescent="0.25">
      <c r="A44" s="31">
        <v>2001</v>
      </c>
      <c r="B44" s="73">
        <v>1957.27</v>
      </c>
      <c r="C44" s="26">
        <v>5344.53</v>
      </c>
      <c r="D44" s="27">
        <v>19.167124999999999</v>
      </c>
      <c r="E44" s="27">
        <v>12.301486486</v>
      </c>
      <c r="F44" s="32">
        <f>((Tabla191011131432[[#This Row],[Total exportaciones del grupo
 a USA (US$ miles)]])/(Tabla191011131432[[#This Row],[Total exportaciones
 a USA (US$ miles)]])/((D44/10000)/E44))</f>
        <v>2350.4003278089808</v>
      </c>
      <c r="G44" s="2" t="str">
        <f>IF(Tabla191011131432[[#This Row],[Indice de Balassa]]&gt;0.33,"VENTAJA","NO VENTAJA")</f>
        <v>VENTAJA</v>
      </c>
    </row>
    <row r="45" spans="1:17" x14ac:dyDescent="0.25">
      <c r="A45" s="31">
        <v>2002</v>
      </c>
      <c r="B45" s="73">
        <v>1236.923</v>
      </c>
      <c r="C45" s="26">
        <v>5328.47</v>
      </c>
      <c r="D45" s="27">
        <v>6.9643240000000004</v>
      </c>
      <c r="E45" s="27">
        <v>11.897488381000001</v>
      </c>
      <c r="F45" s="32">
        <f>((Tabla191011131432[[#This Row],[Total exportaciones del grupo
 a USA (US$ miles)]])/(Tabla191011131432[[#This Row],[Total exportaciones
 a USA (US$ miles)]])/((D45/10000)/E45))</f>
        <v>3965.6689957781368</v>
      </c>
      <c r="G45" s="2" t="str">
        <f>IF(Tabla191011131432[[#This Row],[Indice de Balassa]]&gt;0.33,"VENTAJA","NO VENTAJA")</f>
        <v>VENTAJA</v>
      </c>
    </row>
    <row r="46" spans="1:17" x14ac:dyDescent="0.25">
      <c r="A46" s="31">
        <v>2003</v>
      </c>
      <c r="B46" s="73">
        <v>1441.682</v>
      </c>
      <c r="C46" s="26">
        <v>6160.2</v>
      </c>
      <c r="D46" s="27">
        <v>4.5989469999999999</v>
      </c>
      <c r="E46" s="27">
        <v>13.092218068999999</v>
      </c>
      <c r="F46" s="32">
        <f>((Tabla191011131432[[#This Row],[Total exportaciones del grupo
 a USA (US$ miles)]])/(Tabla191011131432[[#This Row],[Total exportaciones
 a USA (US$ miles)]])/((D46/10000)/E46))</f>
        <v>6662.3813776577217</v>
      </c>
      <c r="G46" s="2" t="str">
        <f>IF(Tabla191011131432[[#This Row],[Indice de Balassa]]&gt;0.33,"VENTAJA","NO VENTAJA")</f>
        <v>VENTAJA</v>
      </c>
    </row>
    <row r="47" spans="1:17" x14ac:dyDescent="0.25">
      <c r="A47" s="31">
        <v>2004</v>
      </c>
      <c r="B47" s="73">
        <v>2121.6509999999998</v>
      </c>
      <c r="C47" s="26">
        <v>7042.2</v>
      </c>
      <c r="D47" s="27">
        <v>166.91609099999999</v>
      </c>
      <c r="E47" s="27">
        <v>16.729677706</v>
      </c>
      <c r="F47" s="32">
        <f>((Tabla191011131432[[#This Row],[Total exportaciones del grupo
 a USA (US$ miles)]])/(Tabla191011131432[[#This Row],[Total exportaciones
 a USA (US$ miles)]])/((D47/10000)/E47))</f>
        <v>301.96385450405222</v>
      </c>
      <c r="G47" s="2" t="str">
        <f>IF(Tabla191011131432[[#This Row],[Indice de Balassa]]&gt;0.33,"VENTAJA","NO VENTAJA")</f>
        <v>VENTAJA</v>
      </c>
    </row>
    <row r="48" spans="1:17" x14ac:dyDescent="0.25">
      <c r="A48" s="31">
        <v>2005</v>
      </c>
      <c r="B48" s="73">
        <v>3450.0210000000002</v>
      </c>
      <c r="C48" s="26">
        <v>8851.6299999999992</v>
      </c>
      <c r="D48" s="27">
        <v>182.43829700000001</v>
      </c>
      <c r="E48" s="27">
        <v>21.190438735000001</v>
      </c>
      <c r="F48" s="32">
        <f>((Tabla191011131432[[#This Row],[Total exportaciones del grupo
 a USA (US$ miles)]])/(Tabla191011131432[[#This Row],[Total exportaciones
 a USA (US$ miles)]])/((D48/10000)/E48))</f>
        <v>452.71243688974135</v>
      </c>
      <c r="G48" s="2" t="str">
        <f>IF(Tabla191011131432[[#This Row],[Indice de Balassa]]&gt;0.33,"VENTAJA","NO VENTAJA")</f>
        <v>VENTAJA</v>
      </c>
    </row>
    <row r="49" spans="1:25" x14ac:dyDescent="0.25">
      <c r="A49" s="31">
        <v>2006</v>
      </c>
      <c r="B49" s="73">
        <v>1953.683</v>
      </c>
      <c r="C49" s="26">
        <v>9948.23</v>
      </c>
      <c r="D49" s="27">
        <v>200.608577</v>
      </c>
      <c r="E49" s="27">
        <v>24.390975102999999</v>
      </c>
      <c r="F49" s="32">
        <f>((Tabla191011131432[[#This Row],[Total exportaciones del grupo
 a USA (US$ miles)]])/(Tabla191011131432[[#This Row],[Total exportaciones
 a USA (US$ miles)]])/((D49/10000)/E49))</f>
        <v>238.77450072282736</v>
      </c>
      <c r="G49" s="2" t="str">
        <f>IF(Tabla191011131432[[#This Row],[Indice de Balassa]]&gt;0.33,"VENTAJA","NO VENTAJA")</f>
        <v>VENTAJA</v>
      </c>
      <c r="L49" s="24"/>
    </row>
    <row r="50" spans="1:25" x14ac:dyDescent="0.25">
      <c r="A50" s="31">
        <v>2007</v>
      </c>
      <c r="B50" s="73">
        <v>2639.74</v>
      </c>
      <c r="C50" s="26">
        <v>10609.17</v>
      </c>
      <c r="D50" s="26">
        <v>125.975844</v>
      </c>
      <c r="E50" s="26">
        <v>29.991332</v>
      </c>
      <c r="F50" s="32">
        <f>((Tabla191011131432[[#This Row],[Total exportaciones del grupo
 a USA (US$ miles)]])/(Tabla191011131432[[#This Row],[Total exportaciones
 a USA (US$ miles)]])/((D50/10000)/E50))</f>
        <v>592.36340731236896</v>
      </c>
      <c r="G50" s="2" t="str">
        <f>IF(Tabla191011131432[[#This Row],[Indice de Balassa]]&gt;0.33,"VENTAJA","NO VENTAJA")</f>
        <v>VENTAJA</v>
      </c>
    </row>
    <row r="51" spans="1:25" x14ac:dyDescent="0.25">
      <c r="A51" s="31">
        <v>2008</v>
      </c>
      <c r="B51" s="73">
        <v>1717.326</v>
      </c>
      <c r="C51" s="26">
        <v>14288.83</v>
      </c>
      <c r="D51" s="26">
        <v>26.415745000000001</v>
      </c>
      <c r="E51" s="26">
        <v>37.625882064999999</v>
      </c>
      <c r="F51" s="32">
        <f>((Tabla191011131432[[#This Row],[Total exportaciones del grupo
 a USA (US$ miles)]])/(Tabla191011131432[[#This Row],[Total exportaciones
 a USA (US$ miles)]])/((D51/10000)/E51))</f>
        <v>1711.9059530965055</v>
      </c>
      <c r="G51" s="2" t="str">
        <f>IF(Tabla191011131432[[#This Row],[Indice de Balassa]]&gt;0.33,"VENTAJA","NO VENTAJA")</f>
        <v>VENTAJA</v>
      </c>
    </row>
    <row r="52" spans="1:25" x14ac:dyDescent="0.25">
      <c r="A52" s="31">
        <v>2009</v>
      </c>
      <c r="B52" s="73">
        <v>1575.6310000000001</v>
      </c>
      <c r="C52" s="26">
        <v>13123.47</v>
      </c>
      <c r="D52" s="26">
        <v>18.050253999999999</v>
      </c>
      <c r="E52" s="26">
        <v>32.852985836999999</v>
      </c>
      <c r="F52" s="32">
        <f>((Tabla191011131432[[#This Row],[Total exportaciones del grupo
 a USA (US$ miles)]])/(Tabla191011131432[[#This Row],[Total exportaciones
 a USA (US$ miles)]])/((D52/10000)/E52))</f>
        <v>2185.231050434068</v>
      </c>
      <c r="G52" s="2" t="str">
        <f>IF(Tabla191011131432[[#This Row],[Indice de Balassa]]&gt;0.33,"VENTAJA","NO VENTAJA")</f>
        <v>VENTAJA</v>
      </c>
    </row>
    <row r="53" spans="1:25" x14ac:dyDescent="0.25">
      <c r="A53" s="31">
        <v>2010</v>
      </c>
      <c r="B53" s="73">
        <v>1504.893</v>
      </c>
      <c r="C53" s="26">
        <v>17143.28</v>
      </c>
      <c r="D53" s="26">
        <v>22.202017999999999</v>
      </c>
      <c r="E53" s="26">
        <v>39.819528642000002</v>
      </c>
      <c r="F53" s="32">
        <f>((Tabla191011131432[[#This Row],[Total exportaciones del grupo
 a USA (US$ miles)]])/(Tabla191011131432[[#This Row],[Total exportaciones
 a USA (US$ miles)]])/((D53/10000)/E53))</f>
        <v>1574.4010400765101</v>
      </c>
      <c r="G53" s="2" t="str">
        <f>IF(Tabla191011131432[[#This Row],[Indice de Balassa]]&gt;0.33,"VENTAJA","NO VENTAJA")</f>
        <v>VENTAJA</v>
      </c>
    </row>
    <row r="54" spans="1:25" x14ac:dyDescent="0.25">
      <c r="A54" s="31">
        <v>2011</v>
      </c>
      <c r="B54" s="73">
        <v>972.726</v>
      </c>
      <c r="C54" s="26">
        <v>21948.53</v>
      </c>
      <c r="D54" s="26">
        <v>43.660679000000002</v>
      </c>
      <c r="E54" s="26">
        <v>56.953516086</v>
      </c>
      <c r="F54" s="32">
        <f>((Tabla191011131432[[#This Row],[Total exportaciones del grupo
 a USA (US$ miles)]])/(Tabla191011131432[[#This Row],[Total exportaciones
 a USA (US$ miles)]])/((D54/10000)/E54))</f>
        <v>578.1162021297655</v>
      </c>
      <c r="G54" s="2" t="str">
        <f>IF(Tabla191011131432[[#This Row],[Indice de Balassa]]&gt;0.33,"VENTAJA","NO VENTAJA")</f>
        <v>VENTAJA</v>
      </c>
    </row>
    <row r="55" spans="1:25" x14ac:dyDescent="0.25">
      <c r="A55" s="31">
        <v>2012</v>
      </c>
      <c r="B55" s="73">
        <v>1055.278</v>
      </c>
      <c r="C55" s="26">
        <v>22216.240000000002</v>
      </c>
      <c r="D55" s="26">
        <v>353.97250200000002</v>
      </c>
      <c r="E55" s="26">
        <v>60.273618167999999</v>
      </c>
      <c r="F55" s="32">
        <f>((Tabla191011131432[[#This Row],[Total exportaciones del grupo
 a USA (US$ miles)]])/(Tabla191011131432[[#This Row],[Total exportaciones
 a USA (US$ miles)]])/((D55/10000)/E55))</f>
        <v>80.882406200719899</v>
      </c>
      <c r="G55" s="2" t="str">
        <f>IF(Tabla191011131432[[#This Row],[Indice de Balassa]]&gt;0.33,"VENTAJA","NO VENTAJA")</f>
        <v>VENTAJA</v>
      </c>
    </row>
    <row r="56" spans="1:25" x14ac:dyDescent="0.25">
      <c r="A56" s="31">
        <v>2013</v>
      </c>
      <c r="B56" s="73">
        <v>1403.4190000000001</v>
      </c>
      <c r="C56" s="26">
        <v>18692.900000000001</v>
      </c>
      <c r="D56" s="26">
        <v>294.08708799999999</v>
      </c>
      <c r="E56" s="26">
        <v>58.821869986999999</v>
      </c>
      <c r="F56" s="32">
        <f>((Tabla191011131432[[#This Row],[Total exportaciones del grupo
 a USA (US$ miles)]])/(Tabla191011131432[[#This Row],[Total exportaciones
 a USA (US$ miles)]])/((D56/10000)/E56))</f>
        <v>150.1666661282905</v>
      </c>
      <c r="G56" s="2" t="str">
        <f>IF(Tabla191011131432[[#This Row],[Indice de Balassa]]&gt;0.33,"VENTAJA","NO VENTAJA")</f>
        <v>VENTAJA</v>
      </c>
    </row>
    <row r="57" spans="1:25" x14ac:dyDescent="0.25">
      <c r="A57" s="31">
        <v>2014</v>
      </c>
      <c r="B57" s="73">
        <v>1707.6569999999999</v>
      </c>
      <c r="C57" s="26">
        <v>14470.7</v>
      </c>
      <c r="D57" s="26">
        <v>58.325574000000003</v>
      </c>
      <c r="E57" s="26">
        <v>54.794812014999998</v>
      </c>
      <c r="F57" s="32">
        <f>((Tabla191011131432[[#This Row],[Total exportaciones del grupo
 a USA (US$ miles)]])/(Tabla191011131432[[#This Row],[Total exportaciones
 a USA (US$ miles)]])/((D57/10000)/E57))</f>
        <v>1108.6424979340202</v>
      </c>
      <c r="G57" s="2" t="str">
        <f>IF(Tabla191011131432[[#This Row],[Indice de Balassa]]&gt;0.33,"VENTAJA","NO VENTAJA")</f>
        <v>VENTAJA</v>
      </c>
    </row>
    <row r="58" spans="1:25" x14ac:dyDescent="0.25">
      <c r="A58" s="31">
        <v>2015</v>
      </c>
      <c r="B58" s="73">
        <v>2333.547</v>
      </c>
      <c r="C58" s="3">
        <v>14074</v>
      </c>
      <c r="D58" s="3">
        <v>50.363951</v>
      </c>
      <c r="E58" s="3">
        <v>35.690766592999999</v>
      </c>
      <c r="F58" s="32">
        <f>((Tabla191011131432[[#This Row],[Total exportaciones del grupo
 a USA (US$ miles)]])/(Tabla191011131432[[#This Row],[Total exportaciones
 a USA (US$ miles)]])/((D58/10000)/E58))</f>
        <v>1174.9924855892664</v>
      </c>
      <c r="G58" s="2" t="str">
        <f>IF(Tabla191011131432[[#This Row],[Indice de Balassa]]&gt;0.33,"VENTAJA","NO VENTAJA")</f>
        <v>VENTAJA</v>
      </c>
    </row>
    <row r="59" spans="1:25" x14ac:dyDescent="0.25">
      <c r="A59" t="s">
        <v>89</v>
      </c>
    </row>
    <row r="61" spans="1:25" ht="15.75" x14ac:dyDescent="0.25">
      <c r="A61" s="135" t="s">
        <v>25</v>
      </c>
      <c r="B61" s="136"/>
      <c r="C61" s="136"/>
      <c r="D61" s="136"/>
      <c r="E61" s="137"/>
    </row>
    <row r="62" spans="1:25" ht="75" x14ac:dyDescent="0.25">
      <c r="A62" s="28" t="s">
        <v>3</v>
      </c>
      <c r="B62" s="34" t="s">
        <v>142</v>
      </c>
      <c r="C62" s="13" t="s">
        <v>149</v>
      </c>
      <c r="D62" s="29" t="s">
        <v>26</v>
      </c>
      <c r="E62" s="30" t="s">
        <v>24</v>
      </c>
    </row>
    <row r="63" spans="1:25" x14ac:dyDescent="0.25">
      <c r="A63" s="31">
        <v>1991</v>
      </c>
      <c r="B63" s="73">
        <f>'Balanza c 00'!B2</f>
        <v>-1072.2910000000002</v>
      </c>
      <c r="C63" s="2">
        <f>'Apertura 00'!B125</f>
        <v>2540.4969999999998</v>
      </c>
      <c r="D63" s="32">
        <f>1-(Tabla19101113141233[[#This Row],[Balanza Comercial Colombia 
( US$ millones)]]/Tabla19101113141233[[#This Row],[Balanza Comercial Absoluta Colombia 
(US$ millones)]])</f>
        <v>1.4220792230811532</v>
      </c>
      <c r="E63" s="2" t="str">
        <f>IF(Tabla19101113141233[[#This Row],[IGLL]]&gt;0.33,"COMERCIO INTRAINDUSTRIAL","INDICIOS DE CMRCIO INT")</f>
        <v>COMERCIO INTRAINDUSTRIAL</v>
      </c>
      <c r="G63" s="7" t="s">
        <v>102</v>
      </c>
      <c r="I63" t="s">
        <v>10</v>
      </c>
      <c r="K63" s="49"/>
      <c r="M63" s="52" t="s">
        <v>136</v>
      </c>
      <c r="O63" s="49"/>
    </row>
    <row r="64" spans="1:25" x14ac:dyDescent="0.25">
      <c r="A64" s="31">
        <v>1992</v>
      </c>
      <c r="B64" s="73">
        <f>'Balanza c 00'!B3</f>
        <v>-1738.4459999999999</v>
      </c>
      <c r="C64" s="2">
        <f>'Apertura 00'!B126</f>
        <v>4566.83</v>
      </c>
      <c r="D64" s="32">
        <f>1-(Tabla19101113141233[[#This Row],[Balanza Comercial Colombia 
( US$ millones)]]/Tabla19101113141233[[#This Row],[Balanza Comercial Absoluta Colombia 
(US$ millones)]])</f>
        <v>1.3806679907069017</v>
      </c>
      <c r="E64" s="2" t="str">
        <f>IF(Tabla19101113141233[[#This Row],[IGLL]]&gt;0.33,"COMERCIO INTRAINDUSTRIAL","INDICIOS DE CMRCIO INT")</f>
        <v>COMERCIO INTRAINDUSTRIAL</v>
      </c>
      <c r="K64">
        <v>1</v>
      </c>
      <c r="L64" s="1" t="s">
        <v>138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49"/>
    </row>
    <row r="65" spans="1:15" x14ac:dyDescent="0.25">
      <c r="A65" s="31">
        <v>1993</v>
      </c>
      <c r="B65" s="73">
        <f>'Balanza c 00'!B4</f>
        <v>-1206.7849999999999</v>
      </c>
      <c r="C65" s="2">
        <f>'Apertura 00'!B127</f>
        <v>5223.7889999999998</v>
      </c>
      <c r="D65" s="32">
        <f>1-(Tabla19101113141233[[#This Row],[Balanza Comercial Colombia 
( US$ millones)]]/Tabla19101113141233[[#This Row],[Balanza Comercial Absoluta Colombia 
(US$ millones)]])</f>
        <v>1.2310171792926552</v>
      </c>
      <c r="E65" s="2" t="str">
        <f>IF(Tabla19101113141233[[#This Row],[IGLL]]&gt;0.33,"COMERCIO INTRAINDUSTRIAL","INDICIOS DE CMRCIO INT")</f>
        <v>COMERCIO INTRAINDUSTRIAL</v>
      </c>
      <c r="K65" s="49"/>
      <c r="M65" s="49"/>
      <c r="O65" s="49"/>
    </row>
    <row r="66" spans="1:15" x14ac:dyDescent="0.25">
      <c r="A66" s="31">
        <v>1994</v>
      </c>
      <c r="B66" s="73">
        <f>'Balanza c 00'!B5</f>
        <v>-2442.4479999999999</v>
      </c>
      <c r="C66" s="2">
        <f>'Apertura 00'!B128</f>
        <v>6507.5139999999992</v>
      </c>
      <c r="D66" s="32">
        <f>1-(Tabla19101113141233[[#This Row],[Balanza Comercial Colombia 
( US$ millones)]]/Tabla19101113141233[[#This Row],[Balanza Comercial Absoluta Colombia 
(US$ millones)]])</f>
        <v>1.3753273523499143</v>
      </c>
      <c r="E66" s="2" t="str">
        <f>IF(Tabla19101113141233[[#This Row],[IGLL]]&gt;0.33,"COMERCIO INTRAINDUSTRIAL","INDICIOS DE CMRCIO INT")</f>
        <v>COMERCIO INTRAINDUSTRIAL</v>
      </c>
      <c r="K66" s="49"/>
      <c r="M66" s="52" t="s">
        <v>136</v>
      </c>
      <c r="O66" s="49"/>
    </row>
    <row r="67" spans="1:15" x14ac:dyDescent="0.25">
      <c r="A67" s="31">
        <v>1995</v>
      </c>
      <c r="B67" s="73">
        <f>'Balanza c 00'!B6</f>
        <v>-1900.6889999999999</v>
      </c>
      <c r="C67" s="2">
        <f>'Apertura 00'!B129</f>
        <v>6083.8649999999998</v>
      </c>
      <c r="D67" s="32">
        <f>1-(Tabla19101113141233[[#This Row],[Balanza Comercial Colombia 
( US$ millones)]]/Tabla19101113141233[[#This Row],[Balanza Comercial Absoluta Colombia 
(US$ millones)]])</f>
        <v>1.3124147232063827</v>
      </c>
      <c r="E67" s="2" t="str">
        <f>IF(Tabla19101113141233[[#This Row],[IGLL]]&gt;0.33,"COMERCIO INTRAINDUSTRIAL","INDICIOS DE CMRCIO INT")</f>
        <v>COMERCIO INTRAINDUSTRIAL</v>
      </c>
      <c r="K67" s="49"/>
      <c r="L67" s="49"/>
      <c r="M67" s="49"/>
      <c r="N67" s="49"/>
      <c r="O67" s="49"/>
    </row>
    <row r="68" spans="1:15" x14ac:dyDescent="0.25">
      <c r="A68" s="31">
        <v>1996</v>
      </c>
      <c r="B68" s="73">
        <f>'Balanza c 00'!B7</f>
        <v>-3426.0199999999995</v>
      </c>
      <c r="C68" s="2">
        <f>'Apertura 00'!B130</f>
        <v>7333.5839999999998</v>
      </c>
      <c r="D68" s="32">
        <f>1-(Tabla19101113141233[[#This Row],[Balanza Comercial Colombia 
( US$ millones)]]/Tabla19101113141233[[#This Row],[Balanza Comercial Absoluta Colombia 
(US$ millones)]])</f>
        <v>1.4671685767831935</v>
      </c>
      <c r="E68" s="2" t="str">
        <f>IF(Tabla19101113141233[[#This Row],[IGLL]]&gt;0.33,"COMERCIO INTRAINDUSTRIAL","INDICIOS DE CMRCIO INT")</f>
        <v>COMERCIO INTRAINDUSTRIAL</v>
      </c>
      <c r="K68" s="49"/>
      <c r="L68" s="49"/>
      <c r="M68" s="49"/>
      <c r="N68" s="49"/>
      <c r="O68" s="49"/>
    </row>
    <row r="69" spans="1:15" x14ac:dyDescent="0.25">
      <c r="A69" s="31">
        <v>1997</v>
      </c>
      <c r="B69" s="73">
        <f>'Balanza c 00'!B8</f>
        <v>-2731.4639999999999</v>
      </c>
      <c r="C69" s="2">
        <f>'Apertura 00'!B131</f>
        <v>4910.7460000000001</v>
      </c>
      <c r="D69" s="32">
        <f>1-(Tabla19101113141233[[#This Row],[Balanza Comercial Colombia 
( US$ millones)]]/Tabla19101113141233[[#This Row],[Balanza Comercial Absoluta Colombia 
(US$ millones)]])</f>
        <v>1.5562218041820937</v>
      </c>
      <c r="E69" s="2" t="str">
        <f>IF(Tabla19101113141233[[#This Row],[IGLL]]&gt;0.33,"COMERCIO INTRAINDUSTRIAL","INDICIOS DE CMRCIO INT")</f>
        <v>COMERCIO INTRAINDUSTRIAL</v>
      </c>
      <c r="K69" s="49"/>
      <c r="L69" s="49"/>
      <c r="M69" s="49"/>
      <c r="N69" s="49"/>
      <c r="O69" s="49"/>
    </row>
    <row r="70" spans="1:15" x14ac:dyDescent="0.25">
      <c r="A70" s="31">
        <v>1998</v>
      </c>
      <c r="B70" s="73">
        <f>'Balanza c 00'!B9</f>
        <v>-2595.123</v>
      </c>
      <c r="C70" s="2">
        <f>'Apertura 00'!B132</f>
        <v>4482.2569999999996</v>
      </c>
      <c r="D70" s="32">
        <f>1-(Tabla19101113141233[[#This Row],[Balanza Comercial Colombia 
( US$ millones)]]/Tabla19101113141233[[#This Row],[Balanza Comercial Absoluta Colombia 
(US$ millones)]])</f>
        <v>1.5789768413547014</v>
      </c>
      <c r="E70" s="2" t="str">
        <f>IF(Tabla19101113141233[[#This Row],[IGLL]]&gt;0.33,"COMERCIO INTRAINDUSTRIAL","INDICIOS DE CMRCIO INT")</f>
        <v>COMERCIO INTRAINDUSTRIAL</v>
      </c>
    </row>
    <row r="71" spans="1:15" x14ac:dyDescent="0.25">
      <c r="A71" s="31">
        <v>1999</v>
      </c>
      <c r="B71" s="73">
        <f>'Balanza c 00'!B10</f>
        <v>-1485.5729999999999</v>
      </c>
      <c r="C71" s="2">
        <f>'Apertura 00'!B133</f>
        <v>5171.7209999999995</v>
      </c>
      <c r="D71" s="32">
        <f>1-(Tabla19101113141233[[#This Row],[Balanza Comercial Colombia 
( US$ millones)]]/Tabla19101113141233[[#This Row],[Balanza Comercial Absoluta Colombia 
(US$ millones)]])</f>
        <v>1.2872492541651028</v>
      </c>
      <c r="E71" s="2" t="str">
        <f>IF(Tabla19101113141233[[#This Row],[IGLL]]&gt;0.33,"COMERCIO INTRAINDUSTRIAL","INDICIOS DE CMRCIO INT")</f>
        <v>COMERCIO INTRAINDUSTRIAL</v>
      </c>
    </row>
    <row r="72" spans="1:15" x14ac:dyDescent="0.25">
      <c r="A72" s="31">
        <v>2000</v>
      </c>
      <c r="B72" s="73">
        <f>'Balanza c 00'!B11</f>
        <v>-631.43099999999981</v>
      </c>
      <c r="C72" s="2">
        <f>'Apertura 00'!B134</f>
        <v>4215.1030000000001</v>
      </c>
      <c r="D72" s="32">
        <f>1-(Tabla19101113141233[[#This Row],[Balanza Comercial Colombia 
( US$ millones)]]/Tabla19101113141233[[#This Row],[Balanza Comercial Absoluta Colombia 
(US$ millones)]])</f>
        <v>1.1498020333073711</v>
      </c>
      <c r="E72" s="2" t="str">
        <f>IF(Tabla19101113141233[[#This Row],[IGLL]]&gt;0.33,"COMERCIO INTRAINDUSTRIAL","INDICIOS DE CMRCIO INT")</f>
        <v>COMERCIO INTRAINDUSTRIAL</v>
      </c>
    </row>
    <row r="73" spans="1:15" x14ac:dyDescent="0.25">
      <c r="A73" s="31">
        <v>2001</v>
      </c>
      <c r="B73" s="73">
        <f>'Balanza c 00'!B12</f>
        <v>-1501.42</v>
      </c>
      <c r="C73" s="2">
        <f>'Apertura 00'!B135</f>
        <v>5415.96</v>
      </c>
      <c r="D73" s="32">
        <f>1-(Tabla19101113141233[[#This Row],[Balanza Comercial Colombia 
( US$ millones)]]/Tabla19101113141233[[#This Row],[Balanza Comercial Absoluta Colombia 
(US$ millones)]])</f>
        <v>1.277221397499243</v>
      </c>
      <c r="E73" s="2" t="str">
        <f>IF(Tabla19101113141233[[#This Row],[IGLL]]&gt;0.33,"COMERCIO INTRAINDUSTRIAL","INDICIOS DE CMRCIO INT")</f>
        <v>COMERCIO INTRAINDUSTRIAL</v>
      </c>
    </row>
    <row r="74" spans="1:15" x14ac:dyDescent="0.25">
      <c r="A74" s="31">
        <v>2002</v>
      </c>
      <c r="B74" s="73">
        <f>'Balanza c 00'!B13</f>
        <v>-2258.9620000000004</v>
      </c>
      <c r="C74" s="2">
        <f>'Apertura 00'!B136</f>
        <v>4732.808</v>
      </c>
      <c r="D74" s="32">
        <f>1-(Tabla19101113141233[[#This Row],[Balanza Comercial Colombia 
( US$ millones)]]/Tabla19101113141233[[#This Row],[Balanza Comercial Absoluta Colombia 
(US$ millones)]])</f>
        <v>1.4772984663649995</v>
      </c>
      <c r="E74" s="2" t="str">
        <f>IF(Tabla19101113141233[[#This Row],[IGLL]]&gt;0.33,"COMERCIO INTRAINDUSTRIAL","INDICIOS DE CMRCIO INT")</f>
        <v>COMERCIO INTRAINDUSTRIAL</v>
      </c>
    </row>
    <row r="75" spans="1:15" x14ac:dyDescent="0.25">
      <c r="A75" s="31">
        <v>2003</v>
      </c>
      <c r="B75" s="73">
        <f>'Balanza c 00'!B14</f>
        <v>-2779.7570000000005</v>
      </c>
      <c r="C75" s="2">
        <f>'Apertura 00'!B137</f>
        <v>5663.1210000000001</v>
      </c>
      <c r="D75" s="32">
        <f>1-(Tabla19101113141233[[#This Row],[Balanza Comercial Colombia 
( US$ millones)]]/Tabla19101113141233[[#This Row],[Balanza Comercial Absoluta Colombia 
(US$ millones)]])</f>
        <v>1.4908524822266733</v>
      </c>
      <c r="E75" s="2" t="str">
        <f>IF(Tabla19101113141233[[#This Row],[IGLL]]&gt;0.33,"COMERCIO INTRAINDUSTRIAL","INDICIOS DE CMRCIO INT")</f>
        <v>COMERCIO INTRAINDUSTRIAL</v>
      </c>
    </row>
    <row r="76" spans="1:15" x14ac:dyDescent="0.25">
      <c r="A76" s="31">
        <v>2004</v>
      </c>
      <c r="B76" s="73">
        <f>'Balanza c 00'!B15</f>
        <v>-146.40700000000015</v>
      </c>
      <c r="C76" s="2">
        <f>'Apertura 00'!B138</f>
        <v>4389.7089999999998</v>
      </c>
      <c r="D76" s="32">
        <f>1-(Tabla19101113141233[[#This Row],[Balanza Comercial Colombia 
( US$ millones)]]/Tabla19101113141233[[#This Row],[Balanza Comercial Absoluta Colombia 
(US$ millones)]])</f>
        <v>1.033352324721297</v>
      </c>
      <c r="E76" s="2" t="str">
        <f>IF(Tabla19101113141233[[#This Row],[IGLL]]&gt;0.33,"COMERCIO INTRAINDUSTRIAL","INDICIOS DE CMRCIO INT")</f>
        <v>COMERCIO INTRAINDUSTRIAL</v>
      </c>
    </row>
    <row r="77" spans="1:15" x14ac:dyDescent="0.25">
      <c r="A77" s="31">
        <v>2005</v>
      </c>
      <c r="B77" s="73">
        <f>'Balanza c 00'!B16</f>
        <v>-325.57399999999961</v>
      </c>
      <c r="C77" s="2">
        <f>'Apertura 00'!B139</f>
        <v>7225.616</v>
      </c>
      <c r="D77" s="32">
        <f>1-(Tabla19101113141233[[#This Row],[Balanza Comercial Colombia 
( US$ millones)]]/Tabla19101113141233[[#This Row],[Balanza Comercial Absoluta Colombia 
(US$ millones)]])</f>
        <v>1.0450583036795755</v>
      </c>
      <c r="E77" s="2" t="str">
        <f>IF(Tabla19101113141233[[#This Row],[IGLL]]&gt;0.33,"COMERCIO INTRAINDUSTRIAL","INDICIOS DE CMRCIO INT")</f>
        <v>COMERCIO INTRAINDUSTRIAL</v>
      </c>
    </row>
    <row r="78" spans="1:15" x14ac:dyDescent="0.25">
      <c r="A78" s="31">
        <v>2006</v>
      </c>
      <c r="B78" s="73">
        <f>'Balanza c 00'!B17</f>
        <v>-1815.8449999999998</v>
      </c>
      <c r="C78" s="2">
        <f>'Apertura 00'!B140</f>
        <v>5723.2109999999993</v>
      </c>
      <c r="D78" s="32">
        <f>1-(Tabla19101113141233[[#This Row],[Balanza Comercial Colombia 
( US$ millones)]]/Tabla19101113141233[[#This Row],[Balanza Comercial Absoluta Colombia 
(US$ millones)]])</f>
        <v>1.3172773116350245</v>
      </c>
      <c r="E78" s="2" t="str">
        <f>IF(Tabla19101113141233[[#This Row],[IGLL]]&gt;0.33,"COMERCIO INTRAINDUSTRIAL","INDICIOS DE CMRCIO INT")</f>
        <v>COMERCIO INTRAINDUSTRIAL</v>
      </c>
    </row>
    <row r="79" spans="1:15" x14ac:dyDescent="0.25">
      <c r="A79" s="31">
        <v>2007</v>
      </c>
      <c r="B79" s="73">
        <f>'Balanza c 00'!B18</f>
        <v>-1579.9270000000006</v>
      </c>
      <c r="C79" s="2">
        <f>'Apertura 00'!B141</f>
        <v>6859.4070000000002</v>
      </c>
      <c r="D79" s="32">
        <f>1-(Tabla19101113141233[[#This Row],[Balanza Comercial Colombia 
( US$ millones)]]/Tabla19101113141233[[#This Row],[Balanza Comercial Absoluta Colombia 
(US$ millones)]])</f>
        <v>1.2303299687567746</v>
      </c>
      <c r="E79" s="2" t="str">
        <f>IF(Tabla19101113141233[[#This Row],[IGLL]]&gt;0.33,"COMERCIO INTRAINDUSTRIAL","INDICIOS DE CMRCIO INT")</f>
        <v>COMERCIO INTRAINDUSTRIAL</v>
      </c>
    </row>
    <row r="80" spans="1:15" x14ac:dyDescent="0.25">
      <c r="A80" s="31">
        <v>2008</v>
      </c>
      <c r="B80" s="73">
        <f>'Balanza c 00'!B19</f>
        <v>-3191.0590000000002</v>
      </c>
      <c r="C80" s="2">
        <f>'Apertura 00'!B142</f>
        <v>6625.7110000000002</v>
      </c>
      <c r="D80" s="32">
        <f>1-(Tabla19101113141233[[#This Row],[Balanza Comercial Colombia 
( US$ millones)]]/Tabla19101113141233[[#This Row],[Balanza Comercial Absoluta Colombia 
(US$ millones)]])</f>
        <v>1.4816175954550388</v>
      </c>
      <c r="E80" s="2" t="str">
        <f>IF(Tabla19101113141233[[#This Row],[IGLL]]&gt;0.33,"COMERCIO INTRAINDUSTRIAL","INDICIOS DE CMRCIO INT")</f>
        <v>COMERCIO INTRAINDUSTRIAL</v>
      </c>
    </row>
    <row r="81" spans="1:5" x14ac:dyDescent="0.25">
      <c r="A81" s="31">
        <v>2009</v>
      </c>
      <c r="B81" s="73">
        <f>'Balanza c 00'!B20</f>
        <v>-3220.2969999999996</v>
      </c>
      <c r="C81" s="2">
        <f>'Apertura 00'!B143</f>
        <v>6371.5590000000002</v>
      </c>
      <c r="D81" s="32">
        <f>1-(Tabla19101113141233[[#This Row],[Balanza Comercial Colombia 
( US$ millones)]]/Tabla19101113141233[[#This Row],[Balanza Comercial Absoluta Colombia 
(US$ millones)]])</f>
        <v>1.5054174339435606</v>
      </c>
      <c r="E81" s="2" t="str">
        <f>IF(Tabla19101113141233[[#This Row],[IGLL]]&gt;0.33,"COMERCIO INTRAINDUSTRIAL","INDICIOS DE CMRCIO INT")</f>
        <v>COMERCIO INTRAINDUSTRIAL</v>
      </c>
    </row>
    <row r="82" spans="1:5" x14ac:dyDescent="0.25">
      <c r="A82" s="31">
        <v>2010</v>
      </c>
      <c r="B82" s="73">
        <f>'Balanza c 00'!B21</f>
        <v>592.38700000000006</v>
      </c>
      <c r="C82" s="2">
        <f>'Apertura 00'!B144</f>
        <v>2417.3989999999999</v>
      </c>
      <c r="D82" s="32">
        <f>1-(Tabla19101113141233[[#This Row],[Balanza Comercial Colombia 
( US$ millones)]]/Tabla19101113141233[[#This Row],[Balanza Comercial Absoluta Colombia 
(US$ millones)]])</f>
        <v>0.75494860385066753</v>
      </c>
      <c r="E82" s="2" t="str">
        <f>IF(Tabla19101113141233[[#This Row],[IGLL]]&gt;0.33,"COMERCIO INTRAINDUSTRIAL","INDICIOS DE CMRCIO INT")</f>
        <v>COMERCIO INTRAINDUSTRIAL</v>
      </c>
    </row>
    <row r="83" spans="1:5" x14ac:dyDescent="0.25">
      <c r="A83" s="31">
        <v>2011</v>
      </c>
      <c r="B83" s="73">
        <f>'Balanza c 00'!B22</f>
        <v>-638.8180000000001</v>
      </c>
      <c r="C83" s="2">
        <f>'Apertura 00'!B145</f>
        <v>2584.27</v>
      </c>
      <c r="D83" s="32">
        <f>1-(Tabla19101113141233[[#This Row],[Balanza Comercial Colombia 
( US$ millones)]]/Tabla19101113141233[[#This Row],[Balanza Comercial Absoluta Colombia 
(US$ millones)]])</f>
        <v>1.2471947590615531</v>
      </c>
      <c r="E83" s="2" t="str">
        <f>IF(Tabla19101113141233[[#This Row],[IGLL]]&gt;0.33,"COMERCIO INTRAINDUSTRIAL","INDICIOS DE CMRCIO INT")</f>
        <v>COMERCIO INTRAINDUSTRIAL</v>
      </c>
    </row>
    <row r="84" spans="1:5" x14ac:dyDescent="0.25">
      <c r="A84" s="31">
        <v>2012</v>
      </c>
      <c r="B84" s="73">
        <f>'Balanza c 00'!B23</f>
        <v>-679.54899999999998</v>
      </c>
      <c r="C84" s="2">
        <f>'Apertura 00'!B146</f>
        <v>2790.105</v>
      </c>
      <c r="D84" s="32">
        <f>1-(Tabla19101113141233[[#This Row],[Balanza Comercial Colombia 
( US$ millones)]]/Tabla19101113141233[[#This Row],[Balanza Comercial Absoluta Colombia 
(US$ millones)]])</f>
        <v>1.2435567837052728</v>
      </c>
      <c r="E84" s="2" t="str">
        <f>IF(Tabla19101113141233[[#This Row],[IGLL]]&gt;0.33,"COMERCIO INTRAINDUSTRIAL","INDICIOS DE CMRCIO INT")</f>
        <v>COMERCIO INTRAINDUSTRIAL</v>
      </c>
    </row>
    <row r="85" spans="1:5" x14ac:dyDescent="0.25">
      <c r="A85" s="31">
        <v>2013</v>
      </c>
      <c r="B85" s="73">
        <f>'Balanza c 00'!B24</f>
        <v>-249.30399999999986</v>
      </c>
      <c r="C85" s="2">
        <f>'Apertura 00'!B147</f>
        <v>3056.1419999999998</v>
      </c>
      <c r="D85" s="32">
        <f>1-(Tabla19101113141233[[#This Row],[Balanza Comercial Colombia 
( US$ millones)]]/Tabla19101113141233[[#This Row],[Balanza Comercial Absoluta Colombia 
(US$ millones)]])</f>
        <v>1.0815747435819409</v>
      </c>
      <c r="E85" s="2" t="str">
        <f>IF(Tabla19101113141233[[#This Row],[IGLL]]&gt;0.33,"COMERCIO INTRAINDUSTRIAL","INDICIOS DE CMRCIO INT")</f>
        <v>COMERCIO INTRAINDUSTRIAL</v>
      </c>
    </row>
    <row r="86" spans="1:5" x14ac:dyDescent="0.25">
      <c r="A86" s="31">
        <v>2014</v>
      </c>
      <c r="B86" s="73">
        <f>'Balanza c 00'!B25</f>
        <v>460.779</v>
      </c>
      <c r="C86" s="2">
        <f>'Apertura 00'!B148</f>
        <v>2954.5349999999999</v>
      </c>
      <c r="D86" s="32">
        <f>1-(Tabla19101113141233[[#This Row],[Balanza Comercial Colombia 
( US$ millones)]]/Tabla19101113141233[[#This Row],[Balanza Comercial Absoluta Colombia 
(US$ millones)]])</f>
        <v>0.84404347892307929</v>
      </c>
      <c r="E86" s="2" t="str">
        <f>IF(Tabla19101113141233[[#This Row],[IGLL]]&gt;0.33,"COMERCIO INTRAINDUSTRIAL","INDICIOS DE CMRCIO INT")</f>
        <v>COMERCIO INTRAINDUSTRIAL</v>
      </c>
    </row>
    <row r="87" spans="1:5" x14ac:dyDescent="0.25">
      <c r="A87" s="31">
        <v>2015</v>
      </c>
      <c r="B87" s="73">
        <f>'Balanza c 00'!B26</f>
        <v>1813.0790000000002</v>
      </c>
      <c r="C87" s="2">
        <f>'Apertura 00'!B149</f>
        <v>2854.0149999999999</v>
      </c>
      <c r="D87" s="32">
        <f>1-(Tabla19101113141233[[#This Row],[Balanza Comercial Colombia 
( US$ millones)]]/Tabla19101113141233[[#This Row],[Balanza Comercial Absoluta Colombia 
(US$ millones)]])</f>
        <v>0.3647268847570877</v>
      </c>
      <c r="E87" s="2" t="str">
        <f>IF(Tabla19101113141233[[#This Row],[IGLL]]&gt;0.33,"COMERCIO INTRAINDUSTRIAL","INDICIOS DE CMRCIO INT")</f>
        <v>COMERCIO INTRAINDUSTRIAL</v>
      </c>
    </row>
    <row r="88" spans="1:5" x14ac:dyDescent="0.25">
      <c r="A88" t="s">
        <v>90</v>
      </c>
    </row>
  </sheetData>
  <mergeCells count="3">
    <mergeCell ref="A3:F3"/>
    <mergeCell ref="A32:G32"/>
    <mergeCell ref="A61:E61"/>
  </mergeCells>
  <conditionalFormatting sqref="F5:F30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72</vt:i4>
      </vt:variant>
    </vt:vector>
  </HeadingPairs>
  <TitlesOfParts>
    <vt:vector size="72" baseType="lpstr">
      <vt:lpstr>Comercio</vt:lpstr>
      <vt:lpstr>comtrade</vt:lpstr>
      <vt:lpstr>Export 00</vt:lpstr>
      <vt:lpstr>Import 00</vt:lpstr>
      <vt:lpstr>Balanza c 00</vt:lpstr>
      <vt:lpstr>Apertura 00</vt:lpstr>
      <vt:lpstr> Per Cápita 00</vt:lpstr>
      <vt:lpstr>Participación Mundial 00</vt:lpstr>
      <vt:lpstr>Dinamismo Comercial 00</vt:lpstr>
      <vt:lpstr>Export 01</vt:lpstr>
      <vt:lpstr>Import 01</vt:lpstr>
      <vt:lpstr>Balanza c 01</vt:lpstr>
      <vt:lpstr>Apertura 01</vt:lpstr>
      <vt:lpstr> Per Cápita 01</vt:lpstr>
      <vt:lpstr>Participación Mundial 01</vt:lpstr>
      <vt:lpstr>Dinamismo Comercial 01</vt:lpstr>
      <vt:lpstr>Export 02</vt:lpstr>
      <vt:lpstr>Import 02</vt:lpstr>
      <vt:lpstr>Balanza c 02</vt:lpstr>
      <vt:lpstr>Apertura 02</vt:lpstr>
      <vt:lpstr> Per Cápita 02</vt:lpstr>
      <vt:lpstr>Participación Mundial 02</vt:lpstr>
      <vt:lpstr>Dinamismo Comercial 02</vt:lpstr>
      <vt:lpstr>Export 03</vt:lpstr>
      <vt:lpstr>Import 03</vt:lpstr>
      <vt:lpstr>Balanza c 03</vt:lpstr>
      <vt:lpstr>Apertura 03</vt:lpstr>
      <vt:lpstr> Per Cápita 03</vt:lpstr>
      <vt:lpstr>Participación Mundial 03</vt:lpstr>
      <vt:lpstr>Dinamismo Comercial 03</vt:lpstr>
      <vt:lpstr>Export 04</vt:lpstr>
      <vt:lpstr>Import 04</vt:lpstr>
      <vt:lpstr>Balanza c 04</vt:lpstr>
      <vt:lpstr>Apertura 04</vt:lpstr>
      <vt:lpstr> Per Cápita 04</vt:lpstr>
      <vt:lpstr>Participación Mundial 04</vt:lpstr>
      <vt:lpstr>Dinamismo Comercial 04</vt:lpstr>
      <vt:lpstr>Export 05</vt:lpstr>
      <vt:lpstr>Import 05</vt:lpstr>
      <vt:lpstr>Balanza c 05</vt:lpstr>
      <vt:lpstr>Apertura 05</vt:lpstr>
      <vt:lpstr> Per Cápita 05</vt:lpstr>
      <vt:lpstr>Participación Mundial 05</vt:lpstr>
      <vt:lpstr>Dinamismo Comercial 05</vt:lpstr>
      <vt:lpstr>Export 06</vt:lpstr>
      <vt:lpstr>Import 06</vt:lpstr>
      <vt:lpstr>Balanza c 06</vt:lpstr>
      <vt:lpstr>Apertura 06</vt:lpstr>
      <vt:lpstr> Per Cápita 06</vt:lpstr>
      <vt:lpstr>Participación Mundial 06</vt:lpstr>
      <vt:lpstr>Dinamismo Comercial 06</vt:lpstr>
      <vt:lpstr>Export 07</vt:lpstr>
      <vt:lpstr>Import 07</vt:lpstr>
      <vt:lpstr>Balanza c 07</vt:lpstr>
      <vt:lpstr>Apertura 07</vt:lpstr>
      <vt:lpstr> Per Cápita 07</vt:lpstr>
      <vt:lpstr>Participación Mundial 07</vt:lpstr>
      <vt:lpstr>Dinamismo Comercial 07</vt:lpstr>
      <vt:lpstr>Export 08</vt:lpstr>
      <vt:lpstr>Import 08</vt:lpstr>
      <vt:lpstr>Balanza c 08</vt:lpstr>
      <vt:lpstr>Apertura 08</vt:lpstr>
      <vt:lpstr> Per Cápita 08</vt:lpstr>
      <vt:lpstr>Participación Mundial 08</vt:lpstr>
      <vt:lpstr>Dinamismo Comercial 08</vt:lpstr>
      <vt:lpstr>Export 09</vt:lpstr>
      <vt:lpstr>Import 09</vt:lpstr>
      <vt:lpstr>Apertura 09</vt:lpstr>
      <vt:lpstr>Balanza c 09</vt:lpstr>
      <vt:lpstr> Per Cápita 09</vt:lpstr>
      <vt:lpstr>Participación Mundial 09</vt:lpstr>
      <vt:lpstr>Dinamismo Comercial 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Peconomi</dc:creator>
  <cp:lastModifiedBy>Peconomi</cp:lastModifiedBy>
  <dcterms:created xsi:type="dcterms:W3CDTF">2016-11-09T16:13:08Z</dcterms:created>
  <dcterms:modified xsi:type="dcterms:W3CDTF">2017-01-16T15:53:19Z</dcterms:modified>
</cp:coreProperties>
</file>